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drawings/drawing4.xml" ContentType="application/vnd.openxmlformats-officedocument.drawing+xml"/>
  <Override PartName="/xl/ctrlProps/ctrlProp14.xml" ContentType="application/vnd.ms-excel.controlproperties+xml"/>
  <Override PartName="/xl/drawings/drawing5.xml" ContentType="application/vnd.openxmlformats-officedocument.drawing+xml"/>
  <Override PartName="/xl/ctrlProps/ctrlProp15.xml" ContentType="application/vnd.ms-excel.controlproperties+xml"/>
  <Override PartName="/xl/drawings/drawing6.xml" ContentType="application/vnd.openxmlformats-officedocument.drawing+xml"/>
  <Override PartName="/xl/ctrlProps/ctrlProp16.xml" ContentType="application/vnd.ms-excel.controlproperties+xml"/>
  <Override PartName="/xl/drawings/drawing7.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8.xml" ContentType="application/vnd.openxmlformats-officedocument.drawing+xml"/>
  <Override PartName="/xl/ctrlProps/ctrlProp19.xml" ContentType="application/vnd.ms-excel.controlproperties+xml"/>
  <Override PartName="/xl/ctrlProps/ctrlProp20.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codeName="{AE6600E7-7A62-396C-DE95-9942FA9DD81E}"/>
  <workbookPr codeName="ThisWorkbook" defaultThemeVersion="124226"/>
  <mc:AlternateContent xmlns:mc="http://schemas.openxmlformats.org/markup-compatibility/2006">
    <mc:Choice Requires="x15">
      <x15ac:absPath xmlns:x15ac="http://schemas.microsoft.com/office/spreadsheetml/2010/11/ac" url="https://uwprod-my.sharepoint.com/personal/jfischbach_wisc_edu/Documents/Copy of Jasons stuff/Hazelnuts/Business Development/"/>
    </mc:Choice>
  </mc:AlternateContent>
  <xr:revisionPtr revIDLastSave="1539" documentId="8_{290F3CC5-B7DD-48CC-BB8A-4E189751D20B}" xr6:coauthVersionLast="47" xr6:coauthVersionMax="47" xr10:uidLastSave="{78E421F2-FA6C-4B8A-9F9E-886A8FE6A7E7}"/>
  <bookViews>
    <workbookView xWindow="-110" yWindow="-110" windowWidth="19420" windowHeight="11020" tabRatio="760" xr2:uid="{00000000-000D-0000-FFFF-FFFF00000000}"/>
  </bookViews>
  <sheets>
    <sheet name="Home" sheetId="6" r:id="rId1"/>
    <sheet name="Steps 1-6" sheetId="15" r:id="rId2"/>
    <sheet name="Steps 7-8" sheetId="7" r:id="rId3"/>
    <sheet name="Step 9" sheetId="8" r:id="rId4"/>
    <sheet name="Step 10" sheetId="12" r:id="rId5"/>
    <sheet name="Step 11" sheetId="9" r:id="rId6"/>
    <sheet name="Step 12" sheetId="11" r:id="rId7"/>
    <sheet name="Step 13" sheetId="16" r:id="rId8"/>
    <sheet name="alley-cropping" sheetId="17" r:id="rId9"/>
    <sheet name="harvester 1.0" sheetId="14" r:id="rId10"/>
    <sheet name="budget" sheetId="2" r:id="rId11"/>
    <sheet name="graph" sheetId="13" r:id="rId12"/>
    <sheet name="input tables" sheetId="3" r:id="rId1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15" l="1"/>
  <c r="L31" i="15" l="1"/>
  <c r="L23" i="15"/>
  <c r="L21" i="15"/>
  <c r="L13" i="15"/>
  <c r="L11" i="15"/>
  <c r="R15" i="17"/>
  <c r="O23" i="17"/>
  <c r="O22" i="17"/>
  <c r="O21" i="17"/>
  <c r="O20" i="17"/>
  <c r="O19" i="17"/>
  <c r="O18" i="17"/>
  <c r="O17" i="17"/>
  <c r="O16" i="17"/>
  <c r="O15" i="17"/>
  <c r="O14" i="17"/>
  <c r="O13" i="17"/>
  <c r="O12" i="17"/>
  <c r="O11" i="17"/>
  <c r="O10" i="17"/>
  <c r="O9" i="17"/>
  <c r="G23" i="17"/>
  <c r="G22" i="17"/>
  <c r="G21" i="17"/>
  <c r="G20" i="17"/>
  <c r="G19" i="17"/>
  <c r="G18" i="17"/>
  <c r="G17" i="17"/>
  <c r="D23" i="17"/>
  <c r="J23" i="17" s="1"/>
  <c r="S39" i="2" s="1"/>
  <c r="D22" i="17"/>
  <c r="D21" i="17"/>
  <c r="J21" i="17" s="1"/>
  <c r="Q39" i="2" s="1"/>
  <c r="D20" i="17"/>
  <c r="J20" i="17" s="1"/>
  <c r="P39" i="2" s="1"/>
  <c r="D19" i="17"/>
  <c r="J19" i="17" s="1"/>
  <c r="O39" i="2" s="1"/>
  <c r="D18" i="17"/>
  <c r="D17" i="17"/>
  <c r="R11" i="17"/>
  <c r="R13" i="17" s="1"/>
  <c r="G16" i="17"/>
  <c r="G15" i="17"/>
  <c r="G14" i="17"/>
  <c r="G13" i="17"/>
  <c r="G12" i="17"/>
  <c r="G11" i="17"/>
  <c r="G10" i="17"/>
  <c r="G9" i="17"/>
  <c r="C15" i="17"/>
  <c r="C14" i="17"/>
  <c r="C13" i="17"/>
  <c r="C12" i="17"/>
  <c r="C11" i="17"/>
  <c r="C10" i="17"/>
  <c r="C9" i="17"/>
  <c r="D15" i="17"/>
  <c r="D14" i="17"/>
  <c r="D13" i="17"/>
  <c r="J13" i="17" s="1"/>
  <c r="I39" i="2" s="1"/>
  <c r="D12" i="17"/>
  <c r="J12" i="17" s="1"/>
  <c r="H39" i="2" s="1"/>
  <c r="D11" i="17"/>
  <c r="J11" i="17" s="1"/>
  <c r="G39" i="2" s="1"/>
  <c r="D10" i="17"/>
  <c r="D9" i="17"/>
  <c r="B16" i="17"/>
  <c r="C16" i="17" s="1"/>
  <c r="D12" i="16"/>
  <c r="D11" i="16"/>
  <c r="L26" i="11"/>
  <c r="M26" i="11" s="1"/>
  <c r="H25" i="16" s="1"/>
  <c r="I25" i="16" s="1"/>
  <c r="L25" i="11"/>
  <c r="M25" i="11" s="1"/>
  <c r="H24" i="16" s="1"/>
  <c r="I24" i="16" s="1"/>
  <c r="L24" i="11"/>
  <c r="M24" i="11" s="1"/>
  <c r="H23" i="16" s="1"/>
  <c r="I23" i="16" s="1"/>
  <c r="L23" i="11"/>
  <c r="M23" i="11" s="1"/>
  <c r="H22" i="16" s="1"/>
  <c r="I22" i="16" s="1"/>
  <c r="L22" i="11"/>
  <c r="M22" i="11" s="1"/>
  <c r="L21" i="11"/>
  <c r="M21" i="11" s="1"/>
  <c r="H20" i="16" s="1"/>
  <c r="I20" i="16" s="1"/>
  <c r="L20" i="11"/>
  <c r="M20" i="11" s="1"/>
  <c r="H19" i="16" s="1"/>
  <c r="I19" i="16" s="1"/>
  <c r="L19" i="11"/>
  <c r="M19" i="11" s="1"/>
  <c r="H18" i="16" s="1"/>
  <c r="I18" i="16" s="1"/>
  <c r="L18" i="11"/>
  <c r="M18" i="11" s="1"/>
  <c r="H17" i="16" s="1"/>
  <c r="I17" i="16" s="1"/>
  <c r="L17" i="11"/>
  <c r="M17" i="11" s="1"/>
  <c r="H16" i="16" s="1"/>
  <c r="I16" i="16" s="1"/>
  <c r="L16" i="11"/>
  <c r="M16" i="11" s="1"/>
  <c r="H15" i="16" s="1"/>
  <c r="I15" i="16" s="1"/>
  <c r="L15" i="11"/>
  <c r="M15" i="11" s="1"/>
  <c r="H14" i="16" s="1"/>
  <c r="I14" i="16" s="1"/>
  <c r="L14" i="11"/>
  <c r="M14" i="11" s="1"/>
  <c r="J26" i="11"/>
  <c r="K26" i="11" s="1"/>
  <c r="J25" i="11"/>
  <c r="K25" i="11" s="1"/>
  <c r="J24" i="11"/>
  <c r="K24" i="11" s="1"/>
  <c r="J23" i="11"/>
  <c r="K23" i="11" s="1"/>
  <c r="J22" i="11"/>
  <c r="K22" i="11" s="1"/>
  <c r="J21" i="11"/>
  <c r="K21" i="11" s="1"/>
  <c r="J20" i="11"/>
  <c r="K20" i="11" s="1"/>
  <c r="J19" i="11"/>
  <c r="K19" i="11" s="1"/>
  <c r="J18" i="11"/>
  <c r="K18" i="11" s="1"/>
  <c r="J17" i="11"/>
  <c r="K17" i="11" s="1"/>
  <c r="J16" i="11"/>
  <c r="K16" i="11" s="1"/>
  <c r="N16" i="11" s="1"/>
  <c r="I7" i="2" s="1"/>
  <c r="J15" i="11"/>
  <c r="K15" i="11" s="1"/>
  <c r="J14" i="11"/>
  <c r="K14" i="11" s="1"/>
  <c r="F26" i="11"/>
  <c r="F25" i="11"/>
  <c r="F24" i="11"/>
  <c r="F23" i="11"/>
  <c r="F22" i="11"/>
  <c r="F21" i="11"/>
  <c r="F20" i="11"/>
  <c r="F19" i="11"/>
  <c r="F18" i="11"/>
  <c r="F17" i="11"/>
  <c r="F16" i="11"/>
  <c r="F15" i="11"/>
  <c r="F14" i="11"/>
  <c r="J16" i="12"/>
  <c r="J15" i="12"/>
  <c r="J17" i="8"/>
  <c r="J16" i="8"/>
  <c r="J15" i="8"/>
  <c r="E37" i="7"/>
  <c r="I9" i="15"/>
  <c r="I8" i="15"/>
  <c r="I7" i="15"/>
  <c r="H11" i="15"/>
  <c r="M14" i="15"/>
  <c r="G32" i="15"/>
  <c r="J14" i="17" l="1"/>
  <c r="J39" i="2" s="1"/>
  <c r="J18" i="17"/>
  <c r="N39" i="2" s="1"/>
  <c r="J10" i="17"/>
  <c r="F39" i="2" s="1"/>
  <c r="J22" i="17"/>
  <c r="R39" i="2" s="1"/>
  <c r="J17" i="17"/>
  <c r="M39" i="2" s="1"/>
  <c r="J9" i="17"/>
  <c r="E39" i="2" s="1"/>
  <c r="J15" i="17"/>
  <c r="K39" i="2" s="1"/>
  <c r="N24" i="11"/>
  <c r="I5" i="2"/>
  <c r="I8" i="2"/>
  <c r="D17" i="16"/>
  <c r="I9" i="2"/>
  <c r="D16" i="17"/>
  <c r="J16" i="17" s="1"/>
  <c r="L39" i="2" s="1"/>
  <c r="N21" i="11"/>
  <c r="N15" i="11"/>
  <c r="N17" i="11"/>
  <c r="N25" i="11"/>
  <c r="H21" i="16"/>
  <c r="I21" i="16" s="1"/>
  <c r="N18" i="11"/>
  <c r="N26" i="11"/>
  <c r="H13" i="16"/>
  <c r="I13" i="16" s="1"/>
  <c r="N19" i="11"/>
  <c r="N20" i="11"/>
  <c r="N14" i="11"/>
  <c r="N22" i="11"/>
  <c r="N23" i="11"/>
  <c r="L14" i="15"/>
  <c r="C27" i="15"/>
  <c r="E20" i="12"/>
  <c r="E19" i="12"/>
  <c r="E18" i="12"/>
  <c r="E17" i="12"/>
  <c r="E13" i="12"/>
  <c r="E12" i="12"/>
  <c r="E11" i="12"/>
  <c r="H5" i="2" l="1"/>
  <c r="H7" i="2"/>
  <c r="D16" i="16"/>
  <c r="H9" i="2"/>
  <c r="H8" i="2"/>
  <c r="M5" i="2"/>
  <c r="M9" i="2"/>
  <c r="M7" i="2"/>
  <c r="D21" i="16"/>
  <c r="M8" i="2"/>
  <c r="L5" i="2"/>
  <c r="L9" i="2"/>
  <c r="L8" i="2"/>
  <c r="L7" i="2"/>
  <c r="D20" i="16"/>
  <c r="N9" i="2"/>
  <c r="N5" i="2"/>
  <c r="N8" i="2"/>
  <c r="D22" i="16"/>
  <c r="N7" i="2"/>
  <c r="D27" i="16"/>
  <c r="S5" i="2"/>
  <c r="S9" i="2"/>
  <c r="S7" i="2"/>
  <c r="S8" i="2"/>
  <c r="D19" i="16"/>
  <c r="K5" i="2"/>
  <c r="K9" i="2"/>
  <c r="K7" i="2"/>
  <c r="K8" i="2"/>
  <c r="Q7" i="2"/>
  <c r="Q9" i="2"/>
  <c r="D25" i="16"/>
  <c r="Q5" i="2"/>
  <c r="Q8" i="2"/>
  <c r="P7" i="2"/>
  <c r="P9" i="2"/>
  <c r="D24" i="16"/>
  <c r="P8" i="2"/>
  <c r="P5" i="2"/>
  <c r="R9" i="2"/>
  <c r="R8" i="2"/>
  <c r="D26" i="16"/>
  <c r="R5" i="2"/>
  <c r="R7" i="2"/>
  <c r="O7" i="2"/>
  <c r="D23" i="16"/>
  <c r="O9" i="2"/>
  <c r="O8" i="2"/>
  <c r="O5" i="2"/>
  <c r="G9" i="2"/>
  <c r="D15" i="16"/>
  <c r="G8" i="2"/>
  <c r="G7" i="2"/>
  <c r="G5" i="2"/>
  <c r="J9" i="2"/>
  <c r="J8" i="2"/>
  <c r="D18" i="16"/>
  <c r="J5" i="2"/>
  <c r="J7" i="2"/>
  <c r="J28" i="2"/>
  <c r="K28" i="2" s="1"/>
  <c r="L28" i="2" s="1"/>
  <c r="J30" i="2"/>
  <c r="K30" i="2" s="1"/>
  <c r="L30" i="2" s="1"/>
  <c r="E22" i="8"/>
  <c r="E21" i="8"/>
  <c r="E15" i="8"/>
  <c r="E14" i="8"/>
  <c r="E13" i="8"/>
  <c r="E11" i="8"/>
  <c r="E12" i="8"/>
  <c r="J31" i="7"/>
  <c r="J30" i="7"/>
  <c r="J29" i="7"/>
  <c r="J28" i="7"/>
  <c r="J27" i="7"/>
  <c r="J26" i="7"/>
  <c r="J24" i="7"/>
  <c r="J25" i="7"/>
  <c r="E16" i="7"/>
  <c r="E15" i="7"/>
  <c r="J18" i="7"/>
  <c r="J17" i="7"/>
  <c r="J16" i="7"/>
  <c r="J15" i="7"/>
  <c r="J14" i="7"/>
  <c r="J13" i="7"/>
  <c r="J12" i="7"/>
  <c r="E14" i="7"/>
  <c r="E13" i="7"/>
  <c r="E12" i="7"/>
  <c r="C33" i="7"/>
  <c r="L32" i="15"/>
  <c r="N32" i="15" s="1"/>
  <c r="N26" i="15"/>
  <c r="N25" i="15"/>
  <c r="N23" i="15"/>
  <c r="N22" i="15"/>
  <c r="L24" i="15"/>
  <c r="N24" i="15" s="1"/>
  <c r="N16" i="15"/>
  <c r="N15" i="15"/>
  <c r="N14" i="15"/>
  <c r="N13" i="15"/>
  <c r="N12" i="15"/>
  <c r="N11" i="15"/>
  <c r="M30" i="2" l="1"/>
  <c r="N30" i="2" s="1"/>
  <c r="O30" i="2" s="1"/>
  <c r="P30" i="2" s="1"/>
  <c r="Q30" i="2" s="1"/>
  <c r="R30" i="2" s="1"/>
  <c r="S30" i="2" s="1"/>
  <c r="M28" i="2"/>
  <c r="N28" i="2" s="1"/>
  <c r="O28" i="2" s="1"/>
  <c r="P28" i="2" s="1"/>
  <c r="Q28" i="2" s="1"/>
  <c r="R28" i="2" s="1"/>
  <c r="S28" i="2" s="1"/>
  <c r="N17" i="15"/>
  <c r="N21" i="15"/>
  <c r="N27" i="15" s="1"/>
  <c r="N31" i="15"/>
  <c r="N33" i="15" s="1"/>
  <c r="G35" i="15"/>
  <c r="I35" i="15" s="1"/>
  <c r="G34" i="15"/>
  <c r="I34" i="15" s="1"/>
  <c r="I32" i="15"/>
  <c r="G31" i="15"/>
  <c r="I31" i="15" s="1"/>
  <c r="I6" i="15"/>
  <c r="I36" i="15"/>
  <c r="I10" i="15"/>
  <c r="C11" i="15"/>
  <c r="C9" i="15"/>
  <c r="F17" i="14"/>
  <c r="F18" i="14"/>
  <c r="F12" i="14"/>
  <c r="F16" i="14" s="1"/>
  <c r="F9" i="14"/>
  <c r="F10" i="14" s="1"/>
  <c r="F11" i="14" s="1"/>
  <c r="I11" i="15" l="1"/>
  <c r="J23" i="12"/>
  <c r="J22" i="12"/>
  <c r="J21" i="12"/>
  <c r="E18" i="2"/>
  <c r="E20" i="2"/>
  <c r="J11" i="12"/>
  <c r="H13" i="9"/>
  <c r="J11" i="8"/>
  <c r="H30" i="8"/>
  <c r="E30" i="7"/>
  <c r="D16" i="2"/>
  <c r="E16" i="2" s="1"/>
  <c r="F16" i="2" s="1"/>
  <c r="G16" i="2" s="1"/>
  <c r="H16" i="2" s="1"/>
  <c r="I16" i="2" s="1"/>
  <c r="J16" i="2" s="1"/>
  <c r="K16" i="2" s="1"/>
  <c r="L16" i="2" s="1"/>
  <c r="M16" i="2" s="1"/>
  <c r="N16" i="2" s="1"/>
  <c r="O16" i="2" s="1"/>
  <c r="P16" i="2" s="1"/>
  <c r="Q16" i="2" s="1"/>
  <c r="R16" i="2" s="1"/>
  <c r="S16" i="2" s="1"/>
  <c r="D15" i="2"/>
  <c r="E15" i="2" s="1"/>
  <c r="F15" i="2" s="1"/>
  <c r="G15" i="2" s="1"/>
  <c r="H15" i="2" s="1"/>
  <c r="I15" i="2" s="1"/>
  <c r="J15" i="2" s="1"/>
  <c r="K15" i="2" s="1"/>
  <c r="L15" i="2" s="1"/>
  <c r="M15" i="2" s="1"/>
  <c r="N15" i="2" s="1"/>
  <c r="O15" i="2" s="1"/>
  <c r="P15" i="2" s="1"/>
  <c r="Q15" i="2" s="1"/>
  <c r="R15" i="2" s="1"/>
  <c r="S15" i="2" s="1"/>
  <c r="J20" i="12"/>
  <c r="J22" i="8"/>
  <c r="J20" i="8"/>
  <c r="E42" i="7"/>
  <c r="E43" i="7"/>
  <c r="E41" i="7"/>
  <c r="G33" i="15"/>
  <c r="I33" i="15" s="1"/>
  <c r="I37" i="15" s="1"/>
  <c r="E19" i="2" s="1"/>
  <c r="H21" i="15"/>
  <c r="E21" i="2" s="1"/>
  <c r="F23" i="14"/>
  <c r="F13" i="14"/>
  <c r="F15" i="14"/>
  <c r="K22" i="2" l="1"/>
  <c r="J22" i="2"/>
  <c r="Q22" i="2"/>
  <c r="M22" i="2"/>
  <c r="P22" i="2"/>
  <c r="O22" i="2"/>
  <c r="N22" i="2"/>
  <c r="L22" i="2"/>
  <c r="S22" i="2"/>
  <c r="R22" i="2"/>
  <c r="H22" i="2"/>
  <c r="G22" i="2"/>
  <c r="F22" i="2"/>
  <c r="I22" i="2"/>
  <c r="H24" i="2"/>
  <c r="I24" i="2"/>
  <c r="G24" i="2"/>
  <c r="S24" i="2"/>
  <c r="Q24" i="2"/>
  <c r="P24" i="2"/>
  <c r="O24" i="2"/>
  <c r="N24" i="2"/>
  <c r="M24" i="2"/>
  <c r="R24" i="2"/>
  <c r="F21" i="14"/>
  <c r="F20" i="14"/>
  <c r="F19" i="14"/>
  <c r="C9" i="2" l="1"/>
  <c r="C8" i="2"/>
  <c r="C7" i="2"/>
  <c r="O31" i="2" l="1"/>
  <c r="H31" i="2"/>
  <c r="R31" i="2"/>
  <c r="M31" i="2"/>
  <c r="D22" i="2"/>
  <c r="D26" i="2" s="1"/>
  <c r="J17" i="12"/>
  <c r="J14" i="12"/>
  <c r="E38" i="7"/>
  <c r="E36" i="7"/>
  <c r="J14" i="8"/>
  <c r="F11" i="2"/>
  <c r="E11" i="2"/>
  <c r="D11" i="2"/>
  <c r="E29" i="9"/>
  <c r="E28" i="9"/>
  <c r="E27" i="9"/>
  <c r="E26" i="9"/>
  <c r="E25" i="9"/>
  <c r="E19" i="9"/>
  <c r="E18" i="9"/>
  <c r="E17" i="9"/>
  <c r="E16" i="9"/>
  <c r="E15" i="9"/>
  <c r="E14" i="9"/>
  <c r="E13" i="9"/>
  <c r="E24" i="8"/>
  <c r="E23" i="8"/>
  <c r="E22" i="7"/>
  <c r="D30" i="2" s="1"/>
  <c r="D28" i="2"/>
  <c r="E33" i="7"/>
  <c r="E25" i="2" s="1"/>
  <c r="F18" i="2"/>
  <c r="K23" i="2" l="1"/>
  <c r="S23" i="2"/>
  <c r="Q23" i="2"/>
  <c r="M23" i="2"/>
  <c r="J23" i="2"/>
  <c r="O23" i="2"/>
  <c r="R23" i="2"/>
  <c r="N23" i="2"/>
  <c r="P23" i="2"/>
  <c r="L23" i="2"/>
  <c r="I23" i="2"/>
  <c r="H23" i="2"/>
  <c r="F23" i="2"/>
  <c r="E23" i="2"/>
  <c r="E30" i="2"/>
  <c r="F30" i="2"/>
  <c r="G30" i="2" s="1"/>
  <c r="H30" i="2" s="1"/>
  <c r="I30" i="2" s="1"/>
  <c r="G23" i="2"/>
  <c r="E28" i="2"/>
  <c r="E24" i="2"/>
  <c r="F24" i="2"/>
  <c r="F28" i="2"/>
  <c r="G28" i="2" s="1"/>
  <c r="H28" i="2" s="1"/>
  <c r="I28" i="2" s="1"/>
  <c r="L18" i="2"/>
  <c r="J24" i="2"/>
  <c r="P31" i="2"/>
  <c r="P32" i="2"/>
  <c r="N31" i="2"/>
  <c r="I31" i="2"/>
  <c r="Q32" i="2"/>
  <c r="Q31" i="2"/>
  <c r="M32" i="2"/>
  <c r="L31" i="2"/>
  <c r="I32" i="2"/>
  <c r="H32" i="2"/>
  <c r="N32" i="2"/>
  <c r="L32" i="2"/>
  <c r="R32" i="2"/>
  <c r="S31" i="2"/>
  <c r="S32" i="2"/>
  <c r="D34" i="2"/>
  <c r="F26" i="2" l="1"/>
  <c r="F34" i="2" s="1"/>
  <c r="E26" i="2"/>
  <c r="E34" i="2" s="1"/>
  <c r="O11" i="2"/>
  <c r="K24" i="2"/>
  <c r="K26" i="2" s="1"/>
  <c r="G26" i="2"/>
  <c r="H11" i="2"/>
  <c r="Q11" i="2"/>
  <c r="D36" i="2"/>
  <c r="D40" i="2" s="1"/>
  <c r="I11" i="2"/>
  <c r="J26" i="2"/>
  <c r="H26" i="2"/>
  <c r="L24" i="2"/>
  <c r="L26" i="2" s="1"/>
  <c r="I26" i="2"/>
  <c r="M11" i="2"/>
  <c r="P11" i="2"/>
  <c r="O32" i="2"/>
  <c r="N11" i="2"/>
  <c r="L11" i="2"/>
  <c r="R11" i="2"/>
  <c r="S11" i="2"/>
  <c r="K31" i="2"/>
  <c r="K32" i="2"/>
  <c r="S26" i="2"/>
  <c r="R26" i="2"/>
  <c r="Q26" i="2"/>
  <c r="P26" i="2"/>
  <c r="O26" i="2"/>
  <c r="N26" i="2"/>
  <c r="M26" i="2"/>
  <c r="G31" i="2"/>
  <c r="G32" i="2"/>
  <c r="J31" i="2"/>
  <c r="J32" i="2"/>
  <c r="D41" i="2" l="1"/>
  <c r="C3" i="13" s="1"/>
  <c r="D43" i="2"/>
  <c r="D44" i="2" s="1"/>
  <c r="D37" i="2"/>
  <c r="B3" i="13"/>
  <c r="F36" i="2"/>
  <c r="F40" i="2" s="1"/>
  <c r="F43" i="2" s="1"/>
  <c r="E36" i="2"/>
  <c r="E40" i="2" s="1"/>
  <c r="J11" i="2"/>
  <c r="G11" i="2"/>
  <c r="K11" i="2"/>
  <c r="G34" i="2"/>
  <c r="E41" i="2" l="1"/>
  <c r="E43" i="2"/>
  <c r="E44" i="2" s="1"/>
  <c r="F44" i="2" s="1"/>
  <c r="E37" i="2"/>
  <c r="B4" i="13"/>
  <c r="B5" i="13" s="1"/>
  <c r="G36" i="2"/>
  <c r="G40" i="2" s="1"/>
  <c r="H34" i="2"/>
  <c r="F41" i="2" l="1"/>
  <c r="C5" i="13" s="1"/>
  <c r="C4" i="13"/>
  <c r="G43" i="2"/>
  <c r="G44" i="2" s="1"/>
  <c r="F37" i="2"/>
  <c r="B6" i="13"/>
  <c r="H36" i="2"/>
  <c r="H40" i="2" s="1"/>
  <c r="I34" i="2"/>
  <c r="G41" i="2" l="1"/>
  <c r="C6" i="13" s="1"/>
  <c r="H43" i="2"/>
  <c r="H44" i="2" s="1"/>
  <c r="G37" i="2"/>
  <c r="B7" i="13"/>
  <c r="I36" i="2"/>
  <c r="I40" i="2" s="1"/>
  <c r="J34" i="2"/>
  <c r="H41" i="2" l="1"/>
  <c r="C7" i="13" s="1"/>
  <c r="I43" i="2"/>
  <c r="I44" i="2" s="1"/>
  <c r="H37" i="2"/>
  <c r="B8" i="13"/>
  <c r="J36" i="2"/>
  <c r="J40" i="2" s="1"/>
  <c r="J43" i="2" s="1"/>
  <c r="K34" i="2"/>
  <c r="I41" i="2" l="1"/>
  <c r="C8" i="13" s="1"/>
  <c r="J44" i="2"/>
  <c r="I37" i="2"/>
  <c r="B9" i="13"/>
  <c r="K36" i="2"/>
  <c r="K40" i="2" s="1"/>
  <c r="L34" i="2"/>
  <c r="J41" i="2" l="1"/>
  <c r="C9" i="13" s="1"/>
  <c r="K43" i="2"/>
  <c r="K44" i="2" s="1"/>
  <c r="J37" i="2"/>
  <c r="B10" i="13"/>
  <c r="L36" i="2"/>
  <c r="L40" i="2" s="1"/>
  <c r="M34" i="2"/>
  <c r="K41" i="2" l="1"/>
  <c r="C10" i="13" s="1"/>
  <c r="L43" i="2"/>
  <c r="L44" i="2" s="1"/>
  <c r="K37" i="2"/>
  <c r="B11" i="13"/>
  <c r="M36" i="2"/>
  <c r="M40" i="2" s="1"/>
  <c r="N34" i="2"/>
  <c r="L41" i="2" l="1"/>
  <c r="C11" i="13" s="1"/>
  <c r="M43" i="2"/>
  <c r="M44" i="2" s="1"/>
  <c r="L37" i="2"/>
  <c r="B12" i="13"/>
  <c r="N36" i="2"/>
  <c r="N40" i="2" s="1"/>
  <c r="O34" i="2"/>
  <c r="M41" i="2" l="1"/>
  <c r="C12" i="13" s="1"/>
  <c r="N43" i="2"/>
  <c r="N44" i="2" s="1"/>
  <c r="M37" i="2"/>
  <c r="B13" i="13"/>
  <c r="O36" i="2"/>
  <c r="P34" i="2"/>
  <c r="N41" i="2" l="1"/>
  <c r="C13" i="13" s="1"/>
  <c r="O40" i="2"/>
  <c r="N37" i="2"/>
  <c r="O37" i="2" s="1"/>
  <c r="B14" i="13"/>
  <c r="P36" i="2"/>
  <c r="Q34" i="2"/>
  <c r="O41" i="2" l="1"/>
  <c r="C14" i="13" s="1"/>
  <c r="O43" i="2"/>
  <c r="O44" i="2" s="1"/>
  <c r="P40" i="2"/>
  <c r="P43" i="2" s="1"/>
  <c r="B15" i="13"/>
  <c r="P37" i="2"/>
  <c r="Q36" i="2"/>
  <c r="R34" i="2"/>
  <c r="S34" i="2"/>
  <c r="P41" i="2" l="1"/>
  <c r="C15" i="13" s="1"/>
  <c r="P44" i="2"/>
  <c r="Q40" i="2"/>
  <c r="B16" i="13"/>
  <c r="Q37" i="2"/>
  <c r="S36" i="2"/>
  <c r="R36" i="2"/>
  <c r="Q41" i="2" l="1"/>
  <c r="C16" i="13" s="1"/>
  <c r="Q43" i="2"/>
  <c r="Q44" i="2" s="1"/>
  <c r="S40" i="2"/>
  <c r="S43" i="2" s="1"/>
  <c r="R40" i="2"/>
  <c r="B17" i="13"/>
  <c r="B18" i="13" s="1"/>
  <c r="R37" i="2"/>
  <c r="S37" i="2" s="1"/>
  <c r="R41" i="2" l="1"/>
  <c r="R43" i="2"/>
  <c r="R44" i="2" s="1"/>
  <c r="S44" i="2" s="1"/>
  <c r="S41" i="2" l="1"/>
  <c r="C18" i="13" s="1"/>
  <c r="C17" i="13"/>
</calcChain>
</file>

<file path=xl/sharedStrings.xml><?xml version="1.0" encoding="utf-8"?>
<sst xmlns="http://schemas.openxmlformats.org/spreadsheetml/2006/main" count="616" uniqueCount="394">
  <si>
    <t>Year</t>
  </si>
  <si>
    <t>Item</t>
  </si>
  <si>
    <t>Re-planting</t>
  </si>
  <si>
    <t>Total Cost</t>
  </si>
  <si>
    <t>#</t>
  </si>
  <si>
    <t>unit cost</t>
  </si>
  <si>
    <t>end caps</t>
  </si>
  <si>
    <t>T connectors</t>
  </si>
  <si>
    <t>Total Drip System</t>
  </si>
  <si>
    <t>Custom Hire/Rental Rates</t>
  </si>
  <si>
    <t>Action</t>
  </si>
  <si>
    <t>Unit</t>
  </si>
  <si>
    <t>ac</t>
  </si>
  <si>
    <t>Mowing-riding mower</t>
  </si>
  <si>
    <t>Tree planting-auger</t>
  </si>
  <si>
    <t>Fertilizing-ATV</t>
  </si>
  <si>
    <t>Fertilizing-Tractor</t>
  </si>
  <si>
    <t>Property taxes</t>
  </si>
  <si>
    <t>Insurance</t>
  </si>
  <si>
    <t>Cash rent</t>
  </si>
  <si>
    <t>Step 1</t>
  </si>
  <si>
    <t>Determine Your Land Costs</t>
  </si>
  <si>
    <t>Cost/Yr</t>
  </si>
  <si>
    <t>Step 2</t>
  </si>
  <si>
    <t>Determine Your Planting Arrangement</t>
  </si>
  <si>
    <t>Value</t>
  </si>
  <si>
    <t>Determine Your Plant Costs</t>
  </si>
  <si>
    <t>Step 3</t>
  </si>
  <si>
    <t>Herbicide burndown (strips) - ATV sprayer</t>
  </si>
  <si>
    <t>Year 0 - Site Preparation</t>
  </si>
  <si>
    <t>Year 1 - Planting Year</t>
  </si>
  <si>
    <t>Tree planting-tractor and planter</t>
  </si>
  <si>
    <t>Watering - tractor and tank</t>
  </si>
  <si>
    <t>Tree planting (custom) - inclusive</t>
  </si>
  <si>
    <t>In row weed control (herbicide) - ATV sprayer</t>
  </si>
  <si>
    <t>Years 2-4 - Pre-Production Maintenance</t>
  </si>
  <si>
    <t>Mowing-Tractor and implement</t>
  </si>
  <si>
    <t>Herbicide burndown (whole field) - sprayer</t>
  </si>
  <si>
    <t>Cover crop seeding - tractor and implement</t>
  </si>
  <si>
    <t>Tillage - tractor and implement</t>
  </si>
  <si>
    <t>Determine Your Drip Irrigation Costs (If used)</t>
  </si>
  <si>
    <t>Activity</t>
  </si>
  <si>
    <t>Labor</t>
  </si>
  <si>
    <t>Clean cultivation-tractor and implement</t>
  </si>
  <si>
    <t>Planting</t>
  </si>
  <si>
    <t>Hand weeding</t>
  </si>
  <si>
    <t>In row weed control (herbicide) - backpack sprayer</t>
  </si>
  <si>
    <t>In row weed control (mulch application) - tractor</t>
  </si>
  <si>
    <t>Data collection - plant performance</t>
  </si>
  <si>
    <t>Hand fertilizing</t>
  </si>
  <si>
    <t>Year 8 Renovation</t>
  </si>
  <si>
    <t>Year 8 Renovation Year</t>
  </si>
  <si>
    <t>Plant removal - backpack sprayer</t>
  </si>
  <si>
    <t>Plant removal - backhoe</t>
  </si>
  <si>
    <t>Years 9-15</t>
  </si>
  <si>
    <t>Plant removal - hand labor</t>
  </si>
  <si>
    <t>Renewal pruning</t>
  </si>
  <si>
    <t>Hours/yr</t>
  </si>
  <si>
    <t>Cost/hr</t>
  </si>
  <si>
    <t>or</t>
  </si>
  <si>
    <t>Project coordination/planning/consultant</t>
  </si>
  <si>
    <t>Applying mulch</t>
  </si>
  <si>
    <t>Total Plants</t>
  </si>
  <si>
    <t>Plant Type and Source</t>
  </si>
  <si>
    <t>Cost/Plant</t>
  </si>
  <si>
    <t>Determine Your Tree Tube Costs (if used)</t>
  </si>
  <si>
    <t>Cost/Tube</t>
  </si>
  <si>
    <t xml:space="preserve">Enter your annual land ownership costs on a per acre basis OR if you are renting land, enter your annual cash rent payment. </t>
  </si>
  <si>
    <t>Tree tubes are used to protect plants from herbivory and wind in the first two years.  They can also act as an herbicide shield to allow use of glyphosate (Round-Up) in the establishment years.</t>
  </si>
  <si>
    <t>Step 5</t>
  </si>
  <si>
    <t>Determine Your Site Preparation Costs - Equipment</t>
  </si>
  <si>
    <t>List each action requiring hand labor, management, or consultants.  Note: labor for actions using equipment is included in the table above.</t>
  </si>
  <si>
    <t>Determine Your Planting Year Costs - Equipment</t>
  </si>
  <si>
    <t>List each action you use in the establishment year to plant, water, weed or otherwise take care of your hazelnuts.  Enter the number of hours per year for each action and the cost per hour.  Lump the equipment cost with the equipment operator labor cost.</t>
  </si>
  <si>
    <t>List each action requiring hand labor, management, or consultants in the establishment year.  Note: labor for actions using equipment is included in the table above.</t>
  </si>
  <si>
    <t>Installing tree tubes</t>
  </si>
  <si>
    <t>Installing drip irrigation</t>
  </si>
  <si>
    <t>List each action you use to maintain your plants in the pre-production years.  Enter the number of hours per year for each action and the cost per hour.  Lump the equipment costs with the operator labor costs.</t>
  </si>
  <si>
    <t>Clean cultivation - tractor and implement</t>
  </si>
  <si>
    <t>Determine Your Annual Early Production Costs - Equipment</t>
  </si>
  <si>
    <t>List each action you use to maintain your plants in the early-production years.  Enter the number of hours per year for each action and the cost per hour.  Lump the equipment costs with the operator labor costs.</t>
  </si>
  <si>
    <t>Mowing-tractor and implement</t>
  </si>
  <si>
    <t>Note About Renovation</t>
  </si>
  <si>
    <t>Determine Your Renovation Costs - Equipment</t>
  </si>
  <si>
    <t>Re-planting - hand labor</t>
  </si>
  <si>
    <t>Determine Your Renovation Plant Costs</t>
  </si>
  <si>
    <t>Percent Replacement</t>
  </si>
  <si>
    <t>Plant Cost</t>
  </si>
  <si>
    <t>List each action you use to renovate your planting.  Enter the number of hours per year for each action and the cost per hour.  Lump the equipment costs with the operator labor costs.</t>
  </si>
  <si>
    <t>Your Hazelnut Production Enterprise Budget (Year 0 -15)</t>
  </si>
  <si>
    <t>Revenue</t>
  </si>
  <si>
    <t>Expenses</t>
  </si>
  <si>
    <t>Land Cost</t>
  </si>
  <si>
    <t>Plants</t>
  </si>
  <si>
    <t>Supplies and Materials</t>
  </si>
  <si>
    <t>Drip Irrigation</t>
  </si>
  <si>
    <t>Tree Tubes</t>
  </si>
  <si>
    <t>Fertilizer</t>
  </si>
  <si>
    <t>Total Expenses</t>
  </si>
  <si>
    <t>Cost/yd</t>
  </si>
  <si>
    <t>Yds/plant</t>
  </si>
  <si>
    <t>Cost/Unit</t>
  </si>
  <si>
    <t>glyphosate</t>
  </si>
  <si>
    <t>Enter the type of mulch, the amount per plant, and the cost per unit.  Enter the herbicide name, the amount per unit, and cost per unit.  Leave the yellow boxes blank if not using mulch and/or herbicides.</t>
  </si>
  <si>
    <t>Owned</t>
  </si>
  <si>
    <t>Rented</t>
  </si>
  <si>
    <t>Cost/yr</t>
  </si>
  <si>
    <t>Total Supplies and Materials</t>
  </si>
  <si>
    <t>Step 7b</t>
  </si>
  <si>
    <t>Determine Your Mulch and/or Herbicide Costs (Year 0 and 1)</t>
  </si>
  <si>
    <t>Item - Synthetic mulch</t>
  </si>
  <si>
    <t>Item - Organic mulch</t>
  </si>
  <si>
    <t>Cost/ft</t>
  </si>
  <si>
    <t>Organic mulch</t>
  </si>
  <si>
    <t>Synthetic mulch</t>
  </si>
  <si>
    <t>General Labor</t>
  </si>
  <si>
    <t>Determine Your Annual Harvest Production</t>
  </si>
  <si>
    <t>% market 1</t>
  </si>
  <si>
    <t>% market 2</t>
  </si>
  <si>
    <t>% market 3</t>
  </si>
  <si>
    <t>$/lb</t>
  </si>
  <si>
    <t>Market 1:</t>
  </si>
  <si>
    <t>Market 2:</t>
  </si>
  <si>
    <t>Market 3:</t>
  </si>
  <si>
    <t>Price:</t>
  </si>
  <si>
    <t>Determine Your Annual Drying and Husking Costs</t>
  </si>
  <si>
    <t>Lbs harvested</t>
  </si>
  <si>
    <t>Option</t>
  </si>
  <si>
    <t>lbs/hr</t>
  </si>
  <si>
    <t>Custom Rate ($/lb)</t>
  </si>
  <si>
    <t>Hand husking</t>
  </si>
  <si>
    <t>Bucket husker</t>
  </si>
  <si>
    <t>Equipment Ownership Cost*</t>
  </si>
  <si>
    <t>Drying and Husking</t>
  </si>
  <si>
    <t>In-shell nut sales</t>
  </si>
  <si>
    <t>Years 0-1</t>
  </si>
  <si>
    <t>Year 8</t>
  </si>
  <si>
    <t>Developed By:</t>
  </si>
  <si>
    <t>Years 5-7 Early Production Maintenance</t>
  </si>
  <si>
    <t>Applying mulch (organic or synthetic)</t>
  </si>
  <si>
    <t>Years 5-7 Early-Production Maintenance</t>
  </si>
  <si>
    <t>Determine Your Re-Plant Plant Costs</t>
  </si>
  <si>
    <t>Enter the percent of plants you plan on replacing and the cost per plant</t>
  </si>
  <si>
    <t>Enter your percent mortality and the cost of each replacement plant.</t>
  </si>
  <si>
    <t>Super Squirrel husker</t>
  </si>
  <si>
    <t>UW-Extension drum husker</t>
  </si>
  <si>
    <t>Other</t>
  </si>
  <si>
    <t>Establishment</t>
  </si>
  <si>
    <t>Iowa Custom Rate Guide</t>
  </si>
  <si>
    <t>Machinery Cost Calculator</t>
  </si>
  <si>
    <t>Helpful Tools</t>
  </si>
  <si>
    <t>emitters (2/plant)</t>
  </si>
  <si>
    <t>Head assembly and zone valves</t>
  </si>
  <si>
    <t>wood chips</t>
  </si>
  <si>
    <t>In row weed control (weed whip)</t>
  </si>
  <si>
    <t>AHC</t>
  </si>
  <si>
    <t>Units</t>
  </si>
  <si>
    <t>Enter the type of mulch, the amount per plant, and the cost per unit.  Enter the herbicide name, the amount per unit, and cost per unit.  Leave the yellow boxes blank if not using mulch, fertilizer, and/or herbicides.</t>
  </si>
  <si>
    <t>Step 9b</t>
  </si>
  <si>
    <t>Determine Your Mulch, Fertilizer, and/or Herbicide Costs (Years 5-8)</t>
  </si>
  <si>
    <t>Step 11b</t>
  </si>
  <si>
    <t>Determine Your Annual Harvest Cost</t>
  </si>
  <si>
    <t>Hand Harvest Rate:</t>
  </si>
  <si>
    <t>Hand Harvest Labor:</t>
  </si>
  <si>
    <t>$/hr</t>
  </si>
  <si>
    <t>Machine Harvest Rate:</t>
  </si>
  <si>
    <t>Machine Custom Rate:</t>
  </si>
  <si>
    <t>Machine/Hand</t>
  </si>
  <si>
    <t>Step 13 Harvest Cost</t>
  </si>
  <si>
    <t>Machine</t>
  </si>
  <si>
    <t>Hand</t>
  </si>
  <si>
    <t>Husker Flow-Through Rate:</t>
  </si>
  <si>
    <t>hrs</t>
  </si>
  <si>
    <t>Labor Rate:</t>
  </si>
  <si>
    <t>Husker Lease Rate:</t>
  </si>
  <si>
    <t>Hrs of labor/hr of operation:</t>
  </si>
  <si>
    <t>Enter the labor and equipment costs for husking and drying the hazelnuts</t>
  </si>
  <si>
    <t>ESN-urea</t>
  </si>
  <si>
    <t>ESN-Urea</t>
  </si>
  <si>
    <t>Potassium sulfate</t>
  </si>
  <si>
    <t>Triple super phosphate</t>
  </si>
  <si>
    <t>Poast</t>
  </si>
  <si>
    <t>Total Gross Revenue</t>
  </si>
  <si>
    <t>Drip irrigation install (custom) - labor only</t>
  </si>
  <si>
    <t>Deer repellent - backpack sprayer</t>
  </si>
  <si>
    <t>Deer repellent application</t>
  </si>
  <si>
    <t>In-shell nut production (lbs)</t>
  </si>
  <si>
    <t>Market 1 - price ($/lb in-shell):</t>
  </si>
  <si>
    <t>Market 2 - price ($/lb in-shell):</t>
  </si>
  <si>
    <t>Market 3 - price ($/lb in-shell):</t>
  </si>
  <si>
    <t>Mulching - labor only</t>
  </si>
  <si>
    <t>Mortgage (principal and/or interest)</t>
  </si>
  <si>
    <t xml:space="preserve">Midwest Hazelnut Enterprise Budget Worksheet Tool </t>
  </si>
  <si>
    <t>jason.fischbach@wisc.edu</t>
  </si>
  <si>
    <t>Jason Fischbach</t>
  </si>
  <si>
    <t>Emerging Crops Outreach Specialist</t>
  </si>
  <si>
    <t>24" Vine Grow</t>
  </si>
  <si>
    <t>Tree Tube Protector + Stake</t>
  </si>
  <si>
    <t>Some form of irrigation is essential in the establishment year.  This chart assumes use of drip irrigation arranged with 1/2" poly feeder lines and a 1" mainline attached to the water source.  If watering by hand from a tank leave this step blank.</t>
  </si>
  <si>
    <t>1" mainline</t>
  </si>
  <si>
    <t>1/2" feeder tubing</t>
  </si>
  <si>
    <t>Step 4</t>
  </si>
  <si>
    <t>Determine Your Perimeter Deer Fence Cost (if used)</t>
  </si>
  <si>
    <t>Items</t>
  </si>
  <si>
    <t>Corner posts with bracing</t>
  </si>
  <si>
    <t>Wire/polyrope</t>
  </si>
  <si>
    <t>Gate hardware</t>
  </si>
  <si>
    <t>Energizer/grounding rod</t>
  </si>
  <si>
    <t>6' posts (2/20')</t>
  </si>
  <si>
    <t>Insulators 3 per 20' + corners</t>
  </si>
  <si>
    <t>Total 3D Fence</t>
  </si>
  <si>
    <t>10' posts (1/20')</t>
  </si>
  <si>
    <t>Insulators 6 20' + corners</t>
  </si>
  <si>
    <t>Material costs (per lineal foot)</t>
  </si>
  <si>
    <t>Installation labor (per lineal foot)</t>
  </si>
  <si>
    <t>Deer Fencing</t>
  </si>
  <si>
    <t>Step 6a - Simple 3-wire 3D Fence</t>
  </si>
  <si>
    <t>Step 6b - 6 Wire Fence</t>
  </si>
  <si>
    <t>Step 6c - 8' Woven Wire Fence - Installed</t>
  </si>
  <si>
    <t>Plowing (whole field) - tractor and implement</t>
  </si>
  <si>
    <t>Plowing (strips) - tractor and implement</t>
  </si>
  <si>
    <t>Disking (whole field) - tractor and implement</t>
  </si>
  <si>
    <t>Disking (strips) - tractor and implement</t>
  </si>
  <si>
    <t>Ripping (strips) - tractor and implement</t>
  </si>
  <si>
    <t>Ripping (whole field) - tractor and implement</t>
  </si>
  <si>
    <t>Rototilling (strips) - tractor and implement</t>
  </si>
  <si>
    <t>Rototilling (whole field) - tractor and implement</t>
  </si>
  <si>
    <t>Finisher (strips) - tractor and implement</t>
  </si>
  <si>
    <t>Finisher (whole field) - tractor and implement</t>
  </si>
  <si>
    <t>Equipment and Operator</t>
  </si>
  <si>
    <t>Step 7a (Year 0)</t>
  </si>
  <si>
    <t>Step 8 (Year 1 - Planting Year)</t>
  </si>
  <si>
    <t>Step 9c</t>
  </si>
  <si>
    <t>Step 10a (Years 5-8)</t>
  </si>
  <si>
    <t>Step 10b</t>
  </si>
  <si>
    <t>Hand weeding (woodies)</t>
  </si>
  <si>
    <t>Enter Values For the Variables Below</t>
  </si>
  <si>
    <t>Mechanical Harvest Model Results</t>
  </si>
  <si>
    <t>Harvester Purchase Cost ($):</t>
  </si>
  <si>
    <t>Planting Size (acres):</t>
  </si>
  <si>
    <t>Ammortization Period (years):</t>
  </si>
  <si>
    <t>Yield Per Row-Foot (lbs in-shell nuts):</t>
  </si>
  <si>
    <t>Annual Maintenance Costs ($):</t>
  </si>
  <si>
    <t>Total Harvested Yield (lbs in-shell nuts):</t>
  </si>
  <si>
    <t>Annual Insurance Cost ($):</t>
  </si>
  <si>
    <t>Annual Operating Time (hrs):</t>
  </si>
  <si>
    <t>Annual Borrowing Cost ($):</t>
  </si>
  <si>
    <t>Harvest Rate (lbs/hr):</t>
  </si>
  <si>
    <t>Annual Storage Costs ($):</t>
  </si>
  <si>
    <t>Annual Transportation Costs ($):</t>
  </si>
  <si>
    <t>Annual Operator Cost ($):</t>
  </si>
  <si>
    <t>Fuel Price ($/gal):</t>
  </si>
  <si>
    <t>Annual Assistant(s) Cost ($):</t>
  </si>
  <si>
    <t>Fuel Efficiency (gal/hr):</t>
  </si>
  <si>
    <t>Annual Fuel Cost ($):</t>
  </si>
  <si>
    <t>Average Drive Speed (mph):</t>
  </si>
  <si>
    <t>Annual Harvester Ownership Cost ($):</t>
  </si>
  <si>
    <t>Total Row Length in Planting (linear ft):</t>
  </si>
  <si>
    <t>Mechanical Harvest Cost ($/acre):</t>
  </si>
  <si>
    <t>Harvest Passes Per Row (#):</t>
  </si>
  <si>
    <t>Mechancial Harvest Cost ($/hr):</t>
  </si>
  <si>
    <t>Row Spacing (ft):</t>
  </si>
  <si>
    <t>Mechanical Harvest Cost ($/lb in-shell):</t>
  </si>
  <si>
    <t>In-Row Plant Spacing (ft):</t>
  </si>
  <si>
    <t>Hand-Picking Rate (lbs in-shell/hr):</t>
  </si>
  <si>
    <t>Equivalent Hand Harvest Labor Cost ($/lb in-shell):</t>
  </si>
  <si>
    <t>Hand-Picking Labor Rate ($/hr):</t>
  </si>
  <si>
    <t>Harvester Operator Rate ($/hr):</t>
  </si>
  <si>
    <t>Hours of Assistant Labor Per Hour Of Operator Labor:</t>
  </si>
  <si>
    <t>Harvester Assistants Labor Rate ($/hr):</t>
  </si>
  <si>
    <t>In-Shell Yield (lbs/acre):</t>
  </si>
  <si>
    <t>Harvest Efficiency (decimal)*:</t>
  </si>
  <si>
    <t>Field Efficiency (decimal)**:</t>
  </si>
  <si>
    <t>In-Shell Pay Price ($/lb):</t>
  </si>
  <si>
    <t>* percentage of total yield captured by harvester unit</t>
  </si>
  <si>
    <t>** percentage of operating time driving down the rows</t>
  </si>
  <si>
    <t xml:space="preserve">This tool calculates the per lb cost of mechanical harvest using the assumptions you enter in the yellow boxes below.  For the most accurate calculation possible, enter the assumptions to reflect how many lineal feet the harvester might harvest in a growing season across multiple farms.  </t>
  </si>
  <si>
    <t>$/lhr</t>
  </si>
  <si>
    <t>X12 drum husker</t>
  </si>
  <si>
    <t>Hasatsan husker</t>
  </si>
  <si>
    <t>Step 11a (Year 8)</t>
  </si>
  <si>
    <t>In-Row Plant Spacing (ft)</t>
  </si>
  <si>
    <t>Total Row Feet To Be Planted (ft)</t>
  </si>
  <si>
    <t>Row Width at Maturity (ft)</t>
  </si>
  <si>
    <t>Total Planted Acres</t>
  </si>
  <si>
    <t>Row Spacing at Establishment (ft)</t>
  </si>
  <si>
    <t>Number of Rows (#)</t>
  </si>
  <si>
    <t>Total Planting Size (acres)</t>
  </si>
  <si>
    <t>Enter information about your hazelnut rows</t>
  </si>
  <si>
    <t>Enter the plant type and source, number, and cost per plant.</t>
  </si>
  <si>
    <t>Round-up before tillage and spots after</t>
  </si>
  <si>
    <t>in-row canopy coverage</t>
  </si>
  <si>
    <t>Hours/1000 lineal feet</t>
  </si>
  <si>
    <t>Row Feet</t>
  </si>
  <si>
    <t>lbs/ac</t>
  </si>
  <si>
    <t>Early Production Costs (Years 2-5)</t>
  </si>
  <si>
    <t>Hours/1000 lineal feet/yr</t>
  </si>
  <si>
    <t>Full Production Costs (Years 6-15)</t>
  </si>
  <si>
    <t>Step 9a (Years 2-5)</t>
  </si>
  <si>
    <t>If planting seedlings (plants originating from seeds) it is likely that by Year 8 after planting some plants will be inferior to others with less vigor or low yields.  Some growers choose to remove the poorest plants and replace them with new plants.  If you do not plan to renovate leave the yellow boxes blank.</t>
  </si>
  <si>
    <t>Step 13a Harvest Costs</t>
  </si>
  <si>
    <t>Step 13b (Drying and Husking Costs)</t>
  </si>
  <si>
    <t>Years 2-5</t>
  </si>
  <si>
    <t>Years 6-15</t>
  </si>
  <si>
    <t>Harvester Costs</t>
  </si>
  <si>
    <t>Total Cost Per Acre</t>
  </si>
  <si>
    <t>% Annual Increase</t>
  </si>
  <si>
    <t>Herbicide/Deer Repellent</t>
  </si>
  <si>
    <t>Plant Skydd</t>
  </si>
  <si>
    <t>Early-Production</t>
  </si>
  <si>
    <t>Full-Production</t>
  </si>
  <si>
    <t>Seedling Renovation</t>
  </si>
  <si>
    <t>Totals</t>
  </si>
  <si>
    <t># of Plants*</t>
  </si>
  <si>
    <r>
      <t xml:space="preserve">* </t>
    </r>
    <r>
      <rPr>
        <sz val="11"/>
        <color theme="1"/>
        <rFont val="Calibri"/>
        <family val="2"/>
        <scheme val="minor"/>
      </rPr>
      <t>The total # of plants must match cell C9 of Step 1.</t>
    </r>
  </si>
  <si>
    <t>UMHDI half-sib seedlings</t>
  </si>
  <si>
    <t>Site Preparation and Planting Year Costs (Years 0-1)</t>
  </si>
  <si>
    <t>List each action you use to prepare your rows for planting.  Enter the number of hours per year for each action and the cost per hour.  Lump the equipment cost with the operator labor cost.</t>
  </si>
  <si>
    <t>Determine Your Mulch, Fertilizer, and/or Herbicide Costs (Year 2-5)</t>
  </si>
  <si>
    <t>As with Steps 7-8, only enter the production costs for the hazelnut rows.  Do not enter costs for managing between the rows.  Those costs are entered in the "Alley-Cropping" step.</t>
  </si>
  <si>
    <t>Determine Your Annual Early-Production Costs - Equipment</t>
  </si>
  <si>
    <t>Enter the costs on a 1000 lineal feet basis.  In other words, how long does it take you to weed whip 1000 lineal feet and how much does that cost you?</t>
  </si>
  <si>
    <t>As with Steps 7-8, only enter the production costs for the hazelnut rows.  Do not enter costs for managing between the rows.  Those costs are entered in the "Alley-Cropping" step. Enter the costs on a 1000 lineal feet basis.  In other words, how long does it take you to weed whip 1000 lineal feet and how much does that cost you?</t>
  </si>
  <si>
    <t>Hazelnut De-Husking Options (For Step 13b)</t>
  </si>
  <si>
    <t>* The annual ownership and maintenance cost ammortized over 7 years.  If the husking equipment is owned, use this annual cost and divide by the annual nut production to determine the annual cost per lb to enter in Step13b.</t>
  </si>
  <si>
    <t>Step 12a Yield Projections</t>
  </si>
  <si>
    <t>ounces of kernel/sq ft (UMHDI Projection)</t>
  </si>
  <si>
    <t>ounces of kernel/sq ft (Your Projection)</t>
  </si>
  <si>
    <t>Improved Cultivars</t>
  </si>
  <si>
    <t>Seedlings</t>
  </si>
  <si>
    <t>% of Your Planting:</t>
  </si>
  <si>
    <t>Step 12b Production Volumes and Revenue</t>
  </si>
  <si>
    <t>Average % kernel:</t>
  </si>
  <si>
    <t>Cultivars</t>
  </si>
  <si>
    <t>total kernel yield</t>
  </si>
  <si>
    <t>total in-shell yield</t>
  </si>
  <si>
    <t>Total</t>
  </si>
  <si>
    <t>planting in-shell yield</t>
  </si>
  <si>
    <t>For each year choose whether to harvest by hand or with a machine.  Use the "Harvester 1.0" tab to determine machine harvester costs or enter a custom rate if known.</t>
  </si>
  <si>
    <t xml:space="preserve">Harvester 1.0 (For Step 14a) </t>
  </si>
  <si>
    <t>Alley-Cropping</t>
  </si>
  <si>
    <t>Hazelnut Row Width</t>
  </si>
  <si>
    <t>Row Middle Width</t>
  </si>
  <si>
    <t>Headlands</t>
  </si>
  <si>
    <t>Use this tool to determine your income (or expenses) from the borders, headlands, and row-middles of your planting.</t>
  </si>
  <si>
    <t>Time to Drive 100ft (min):</t>
  </si>
  <si>
    <t>Mower Width (ft):</t>
  </si>
  <si>
    <t>Hrs/acre:</t>
  </si>
  <si>
    <t>Mowings/ac/yr:</t>
  </si>
  <si>
    <t>Cost per hour (mower + operator):</t>
  </si>
  <si>
    <t>Total hrs/ac/yr:</t>
  </si>
  <si>
    <t>Per Acre Total Costs ($/ac):</t>
  </si>
  <si>
    <t>Per Acre Total Revenue ($/ac):</t>
  </si>
  <si>
    <t>Enter the following information per year to determine your annual alley-cropping income per year.</t>
  </si>
  <si>
    <t>First, enter what percentage of your rows will be covered by hazelnut canopy in each year. Then, enter what percentage of your plants are improved cultivars and what percentage are seedlings (plants from seeds). Then, enter the average percent kernel. Finally, adjust the average projected yields based on whether you think your yields will be higher or lower than the baseline standard. Yields are expressed as ounces of kernel per square foot of canopy coverage.</t>
  </si>
  <si>
    <t>To determine revenue, enter the name of each market to which you sell your in-shell nuts and the price paid to you for each market.  Enter the % of the total harvest sold to each market.</t>
  </si>
  <si>
    <t>A Note on Yield Projections:</t>
  </si>
  <si>
    <t>The UMHDI yield projections shown are based on average yields of the 1st Generation cultivars as measured at the UMHDI Germplasm Trial in Bayfield, WI.  Actual yields for your planting are likely to vary considerably.  We use ounces of kernel per square foot of canopy coverage (yield density) because it better accounts for variation in plant size, making it easier to compare yields across a range of sites and plant ages.  Thus, total yield from a planting depends on yield density and total canopy coverage.</t>
  </si>
  <si>
    <t>Harvest Cost</t>
  </si>
  <si>
    <t>% mowed</t>
  </si>
  <si>
    <t>% alley-cropped</t>
  </si>
  <si>
    <t>Row Middles</t>
  </si>
  <si>
    <t>Acres</t>
  </si>
  <si>
    <t>Cost per Acre Per Year:</t>
  </si>
  <si>
    <t>Step 3. Mowing Costs</t>
  </si>
  <si>
    <t>Step 2. Alley-Cropping Income/Expense</t>
  </si>
  <si>
    <t>Step 1. Row-Middle/Headland Management</t>
  </si>
  <si>
    <t>Enter the width of the hazelnut rows to determine the area available for alley-cropping. Enter the percentage of the row-middles and headlands that are mowed or alley-cropped each year.</t>
  </si>
  <si>
    <t>Total Income or Cost</t>
  </si>
  <si>
    <t>Total Alley-Cropping Income per acre</t>
  </si>
  <si>
    <t>Mower Efficiency (%)*:</t>
  </si>
  <si>
    <t>*Percent of time mowing, as opposed to turning or mowing the same ground</t>
  </si>
  <si>
    <t>EBITDA (Hazelnut Rows)</t>
  </si>
  <si>
    <t>Cumulative EBITDA (Hazelnut Rows)</t>
  </si>
  <si>
    <t>Row-Middle/Headland Income or Expense</t>
  </si>
  <si>
    <t>Hazelnut Rows EBITDA</t>
  </si>
  <si>
    <t>Whole Field EBITDA</t>
  </si>
  <si>
    <t>Row-Middle/Headland</t>
  </si>
  <si>
    <t>Management</t>
  </si>
  <si>
    <t>Yield and Revenue</t>
  </si>
  <si>
    <t>Years 3-15</t>
  </si>
  <si>
    <t>Harvest Costs</t>
  </si>
  <si>
    <t>Headland length (ft)</t>
  </si>
  <si>
    <t>Though hazelnuts are not preferred deer browse, a deer fence is recommended in areas with high deer pressure.  Three fencing options are provided below.  Enter costs as appropriate. Perimeter distance includes 15' buffer next to outer rows and headlands as entered in C14. At least 40' is recommended for headlands.</t>
  </si>
  <si>
    <t>This enterprise budgeting tool assumes your planting has two parts: 1) the hazelnut rows, 2) the space between the rows (row middles).  For this model, enter your production costs on a lineal foot basis.  For example, when doing site preparation, how long does it take you to rototill a 1000' long row and how much does that cost you?  You'll enter information on how you manage your row-middles on the "Alley-Cropping" step.</t>
  </si>
  <si>
    <t>This spreadsheet tool helps you build an enterprise budget for your hazelnut enterprise one step at a time.  Starting with Step 1, complete each Step in order by filling in the yellow boxes.  The completed enterprise budget can be seen in the budget tab. This tool separates your planting into two parts: the hazelnut rows and the row-middles.</t>
  </si>
  <si>
    <t>Original Verstion: June 8, 2012, Last Updated: December 4, 2022</t>
  </si>
  <si>
    <t>Entire Field EBITDA</t>
  </si>
  <si>
    <t>Entire Field Cumulative EBITDA</t>
  </si>
  <si>
    <t>Per Acre EBITDA (Entire Field)</t>
  </si>
  <si>
    <t>Per Acre Cumulative EBITDA (Entire Field)</t>
  </si>
  <si>
    <t>total plants (#)</t>
  </si>
  <si>
    <t>UMHDI 1st Gen Varieties</t>
  </si>
  <si>
    <t>If not alley-cropping, use Step 3 to determine your annual mowing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</si>
</sst>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_);_(&quot;$&quot;* \(#,##0\);_(&quot;$&quot;* &quot;-&quot;??_);_(@_)"/>
    <numFmt numFmtId="165" formatCode="0.0"/>
  </numFmts>
  <fonts count="1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b/>
      <sz val="16"/>
      <color theme="1"/>
      <name val="Calibri"/>
      <family val="2"/>
      <scheme val="minor"/>
    </font>
    <font>
      <i/>
      <sz val="11"/>
      <color theme="1"/>
      <name val="Calibri"/>
      <family val="2"/>
      <scheme val="minor"/>
    </font>
    <font>
      <b/>
      <i/>
      <sz val="11"/>
      <color theme="1"/>
      <name val="Calibri"/>
      <family val="2"/>
      <scheme val="minor"/>
    </font>
    <font>
      <b/>
      <sz val="14"/>
      <color theme="1"/>
      <name val="Calibri"/>
      <family val="2"/>
      <scheme val="minor"/>
    </font>
    <font>
      <i/>
      <sz val="12"/>
      <color theme="1"/>
      <name val="Calibri"/>
      <family val="2"/>
      <scheme val="minor"/>
    </font>
    <font>
      <u/>
      <sz val="11"/>
      <color theme="10"/>
      <name val="Calibri"/>
      <family val="2"/>
      <scheme val="minor"/>
    </font>
    <font>
      <b/>
      <sz val="12"/>
      <color rgb="FF000000"/>
      <name val="Calibri"/>
      <family val="2"/>
    </font>
    <font>
      <sz val="14"/>
      <name val="Arial"/>
      <family val="2"/>
    </font>
    <font>
      <b/>
      <sz val="11"/>
      <color rgb="FF000000"/>
      <name val="Calibri"/>
      <family val="2"/>
    </font>
    <font>
      <b/>
      <sz val="22"/>
      <color theme="1"/>
      <name val="Calibri"/>
      <family val="2"/>
      <scheme val="minor"/>
    </font>
    <font>
      <sz val="12"/>
      <color theme="1"/>
      <name val="Calibri"/>
      <family val="2"/>
      <scheme val="minor"/>
    </font>
  </fonts>
  <fills count="11">
    <fill>
      <patternFill patternType="none"/>
    </fill>
    <fill>
      <patternFill patternType="gray125"/>
    </fill>
    <fill>
      <patternFill patternType="solid">
        <fgColor rgb="FFFFFF66"/>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rgb="FFFFCC99"/>
        <bgColor indexed="64"/>
      </patternFill>
    </fill>
    <fill>
      <patternFill patternType="solid">
        <fgColor rgb="FFFFFF00"/>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4" tint="0.79998168889431442"/>
        <bgColor indexed="64"/>
      </patternFill>
    </fill>
  </fills>
  <borders count="5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cellStyleXfs>
  <cellXfs count="423">
    <xf numFmtId="0" fontId="0" fillId="0" borderId="0" xfId="0"/>
    <xf numFmtId="0" fontId="2" fillId="0" borderId="0" xfId="0" applyFont="1"/>
    <xf numFmtId="0" fontId="0" fillId="0" borderId="0" xfId="0" applyAlignment="1">
      <alignment horizontal="left" indent="1"/>
    </xf>
    <xf numFmtId="0" fontId="2" fillId="0" borderId="0" xfId="0" applyFont="1" applyAlignment="1">
      <alignment horizontal="left"/>
    </xf>
    <xf numFmtId="0" fontId="0" fillId="0" borderId="4" xfId="0" applyBorder="1"/>
    <xf numFmtId="0" fontId="0" fillId="0" borderId="5" xfId="0" applyBorder="1"/>
    <xf numFmtId="0" fontId="0" fillId="0" borderId="7" xfId="0" applyBorder="1" applyAlignment="1">
      <alignment horizontal="center"/>
    </xf>
    <xf numFmtId="0" fontId="0" fillId="0" borderId="9" xfId="0" applyBorder="1" applyAlignment="1">
      <alignment horizontal="center"/>
    </xf>
    <xf numFmtId="0" fontId="0" fillId="0" borderId="6" xfId="0" applyBorder="1"/>
    <xf numFmtId="0" fontId="0" fillId="0" borderId="7" xfId="0" applyBorder="1" applyAlignment="1">
      <alignment horizontal="left"/>
    </xf>
    <xf numFmtId="0" fontId="0" fillId="0" borderId="9" xfId="0" applyBorder="1" applyAlignment="1">
      <alignment horizontal="left"/>
    </xf>
    <xf numFmtId="1" fontId="0" fillId="0" borderId="8" xfId="0" applyNumberFormat="1" applyBorder="1" applyAlignment="1">
      <alignment horizontal="center"/>
    </xf>
    <xf numFmtId="0" fontId="2" fillId="3" borderId="6" xfId="0" applyFont="1" applyFill="1" applyBorder="1" applyAlignment="1">
      <alignment horizontal="center"/>
    </xf>
    <xf numFmtId="0" fontId="3" fillId="3" borderId="7" xfId="0" applyFont="1" applyFill="1" applyBorder="1" applyAlignment="1">
      <alignment horizontal="center"/>
    </xf>
    <xf numFmtId="0" fontId="2" fillId="3" borderId="8" xfId="0" applyFont="1" applyFill="1" applyBorder="1" applyAlignment="1">
      <alignment horizontal="center"/>
    </xf>
    <xf numFmtId="0" fontId="2" fillId="0" borderId="9" xfId="0" applyFont="1" applyBorder="1" applyAlignment="1">
      <alignment horizontal="left"/>
    </xf>
    <xf numFmtId="0" fontId="2" fillId="0" borderId="10" xfId="0" applyFont="1" applyBorder="1"/>
    <xf numFmtId="44" fontId="0" fillId="0" borderId="8" xfId="1" applyFont="1" applyBorder="1"/>
    <xf numFmtId="0" fontId="2" fillId="3" borderId="0" xfId="0" applyFont="1" applyFill="1"/>
    <xf numFmtId="0" fontId="4" fillId="0" borderId="0" xfId="0" applyFont="1"/>
    <xf numFmtId="0" fontId="0" fillId="0" borderId="0" xfId="0" applyAlignment="1">
      <alignment horizontal="left"/>
    </xf>
    <xf numFmtId="0" fontId="3" fillId="0" borderId="0" xfId="0" applyFont="1" applyAlignment="1">
      <alignment horizontal="left"/>
    </xf>
    <xf numFmtId="0" fontId="2" fillId="3" borderId="6" xfId="0" applyFont="1" applyFill="1" applyBorder="1"/>
    <xf numFmtId="0" fontId="3" fillId="3" borderId="6" xfId="0" applyFont="1" applyFill="1" applyBorder="1" applyAlignment="1">
      <alignment horizontal="center"/>
    </xf>
    <xf numFmtId="0" fontId="0" fillId="0" borderId="8" xfId="0" applyBorder="1" applyAlignment="1">
      <alignment horizontal="center"/>
    </xf>
    <xf numFmtId="0" fontId="2" fillId="4" borderId="6" xfId="0" applyFont="1" applyFill="1" applyBorder="1"/>
    <xf numFmtId="0" fontId="0" fillId="0" borderId="2" xfId="0" applyBorder="1"/>
    <xf numFmtId="0" fontId="0" fillId="0" borderId="3" xfId="0" applyBorder="1"/>
    <xf numFmtId="0" fontId="2" fillId="0" borderId="4" xfId="0" applyFont="1" applyBorder="1"/>
    <xf numFmtId="0" fontId="3" fillId="3" borderId="7" xfId="0" applyFont="1" applyFill="1" applyBorder="1"/>
    <xf numFmtId="0" fontId="3" fillId="3" borderId="8" xfId="0" applyFont="1" applyFill="1" applyBorder="1" applyAlignment="1">
      <alignment horizontal="center"/>
    </xf>
    <xf numFmtId="0" fontId="0" fillId="0" borderId="7" xfId="0" applyBorder="1"/>
    <xf numFmtId="0" fontId="0" fillId="0" borderId="9" xfId="0" applyBorder="1"/>
    <xf numFmtId="0" fontId="3" fillId="3" borderId="8" xfId="0" applyFont="1" applyFill="1" applyBorder="1"/>
    <xf numFmtId="0" fontId="2" fillId="0" borderId="4" xfId="0" applyFont="1" applyBorder="1" applyAlignment="1">
      <alignment horizontal="left"/>
    </xf>
    <xf numFmtId="0" fontId="2" fillId="3" borderId="7" xfId="0" applyFont="1" applyFill="1" applyBorder="1"/>
    <xf numFmtId="0" fontId="2" fillId="3" borderId="8" xfId="0" applyFont="1" applyFill="1" applyBorder="1"/>
    <xf numFmtId="44" fontId="0" fillId="0" borderId="11" xfId="1" applyFont="1" applyBorder="1"/>
    <xf numFmtId="0" fontId="2" fillId="4" borderId="7" xfId="0" applyFont="1" applyFill="1" applyBorder="1"/>
    <xf numFmtId="0" fontId="2" fillId="4" borderId="8" xfId="0" applyFont="1" applyFill="1" applyBorder="1"/>
    <xf numFmtId="44" fontId="2" fillId="0" borderId="11" xfId="1" applyFont="1" applyBorder="1"/>
    <xf numFmtId="0" fontId="2" fillId="3" borderId="19" xfId="0" applyFont="1" applyFill="1" applyBorder="1"/>
    <xf numFmtId="44" fontId="0" fillId="0" borderId="14" xfId="0" applyNumberFormat="1" applyBorder="1"/>
    <xf numFmtId="0" fontId="3" fillId="0" borderId="1" xfId="0" applyFont="1" applyBorder="1"/>
    <xf numFmtId="0" fontId="3" fillId="0" borderId="1" xfId="0" applyFont="1" applyBorder="1" applyAlignment="1">
      <alignment horizontal="left"/>
    </xf>
    <xf numFmtId="0" fontId="2" fillId="0" borderId="1" xfId="0" applyFont="1" applyBorder="1"/>
    <xf numFmtId="0" fontId="3" fillId="0" borderId="0" xfId="0" applyFont="1"/>
    <xf numFmtId="0" fontId="3" fillId="0" borderId="2" xfId="0" applyFont="1" applyBorder="1"/>
    <xf numFmtId="0" fontId="2" fillId="4" borderId="22" xfId="0" applyFont="1" applyFill="1" applyBorder="1"/>
    <xf numFmtId="44" fontId="0" fillId="0" borderId="8" xfId="1" applyFont="1" applyFill="1" applyBorder="1"/>
    <xf numFmtId="44" fontId="0" fillId="0" borderId="11" xfId="1" applyFont="1" applyFill="1" applyBorder="1"/>
    <xf numFmtId="0" fontId="2" fillId="0" borderId="0" xfId="0" applyFont="1" applyAlignment="1">
      <alignment horizontal="right" wrapText="1"/>
    </xf>
    <xf numFmtId="0" fontId="2" fillId="0" borderId="0" xfId="0" applyFont="1" applyAlignment="1">
      <alignment horizontal="right"/>
    </xf>
    <xf numFmtId="0" fontId="6" fillId="0" borderId="5" xfId="0" applyFont="1" applyBorder="1" applyAlignment="1">
      <alignment horizontal="left" wrapText="1"/>
    </xf>
    <xf numFmtId="0" fontId="2" fillId="3" borderId="6" xfId="0" applyFont="1" applyFill="1" applyBorder="1" applyAlignment="1">
      <alignment horizontal="center" wrapText="1"/>
    </xf>
    <xf numFmtId="0" fontId="2" fillId="3" borderId="12" xfId="0" applyFont="1" applyFill="1" applyBorder="1" applyAlignment="1">
      <alignment horizontal="center" wrapText="1"/>
    </xf>
    <xf numFmtId="0" fontId="2" fillId="3" borderId="23" xfId="0" applyFont="1" applyFill="1" applyBorder="1" applyAlignment="1">
      <alignment horizontal="center" wrapText="1"/>
    </xf>
    <xf numFmtId="0" fontId="2" fillId="0" borderId="16" xfId="0" applyFont="1" applyBorder="1" applyAlignment="1">
      <alignment horizontal="left"/>
    </xf>
    <xf numFmtId="49" fontId="2" fillId="0" borderId="0" xfId="0" applyNumberFormat="1" applyFont="1"/>
    <xf numFmtId="0" fontId="3" fillId="0" borderId="0" xfId="0" applyFont="1" applyAlignment="1">
      <alignment horizontal="center"/>
    </xf>
    <xf numFmtId="0" fontId="0" fillId="0" borderId="25" xfId="0" applyBorder="1"/>
    <xf numFmtId="0" fontId="0" fillId="0" borderId="26" xfId="0" applyBorder="1"/>
    <xf numFmtId="0" fontId="0" fillId="0" borderId="27" xfId="0" applyBorder="1"/>
    <xf numFmtId="0" fontId="9" fillId="0" borderId="0" xfId="3"/>
    <xf numFmtId="0" fontId="0" fillId="2" borderId="8" xfId="0" applyFill="1" applyBorder="1" applyAlignment="1" applyProtection="1">
      <alignment horizontal="center"/>
      <protection locked="0"/>
    </xf>
    <xf numFmtId="1" fontId="0" fillId="2" borderId="8" xfId="0" applyNumberFormat="1" applyFill="1" applyBorder="1" applyAlignment="1" applyProtection="1">
      <alignment horizontal="center"/>
      <protection locked="0"/>
    </xf>
    <xf numFmtId="0" fontId="0" fillId="2" borderId="13" xfId="0" applyFill="1" applyBorder="1" applyProtection="1">
      <protection locked="0"/>
    </xf>
    <xf numFmtId="44" fontId="0" fillId="2" borderId="18" xfId="1" applyFont="1" applyFill="1" applyBorder="1" applyAlignment="1" applyProtection="1">
      <alignment horizontal="right"/>
      <protection locked="0"/>
    </xf>
    <xf numFmtId="0" fontId="0" fillId="2" borderId="9" xfId="0" applyFill="1" applyBorder="1" applyProtection="1">
      <protection locked="0"/>
    </xf>
    <xf numFmtId="44" fontId="0" fillId="2" borderId="10" xfId="1" applyFont="1" applyFill="1" applyBorder="1" applyProtection="1">
      <protection locked="0"/>
    </xf>
    <xf numFmtId="44" fontId="0" fillId="2" borderId="6" xfId="1" applyFont="1" applyFill="1" applyBorder="1" applyAlignment="1" applyProtection="1">
      <alignment horizontal="center"/>
      <protection locked="0"/>
    </xf>
    <xf numFmtId="44" fontId="0" fillId="2" borderId="10" xfId="1" applyFont="1" applyFill="1" applyBorder="1" applyAlignment="1" applyProtection="1">
      <alignment horizontal="center"/>
      <protection locked="0"/>
    </xf>
    <xf numFmtId="44" fontId="0" fillId="2" borderId="6" xfId="1" applyFont="1" applyFill="1" applyBorder="1" applyProtection="1">
      <protection locked="0"/>
    </xf>
    <xf numFmtId="0" fontId="0" fillId="2" borderId="7" xfId="0" applyFill="1" applyBorder="1" applyProtection="1">
      <protection locked="0"/>
    </xf>
    <xf numFmtId="0" fontId="0" fillId="2" borderId="6" xfId="0" applyFill="1" applyBorder="1" applyProtection="1">
      <protection locked="0"/>
    </xf>
    <xf numFmtId="44" fontId="0" fillId="2" borderId="19" xfId="1" applyFont="1" applyFill="1" applyBorder="1" applyProtection="1">
      <protection locked="0"/>
    </xf>
    <xf numFmtId="0" fontId="0" fillId="2" borderId="10" xfId="0" applyFill="1" applyBorder="1" applyProtection="1">
      <protection locked="0"/>
    </xf>
    <xf numFmtId="44" fontId="0" fillId="2" borderId="21" xfId="1" applyFont="1" applyFill="1" applyBorder="1" applyProtection="1">
      <protection locked="0"/>
    </xf>
    <xf numFmtId="0" fontId="0" fillId="2" borderId="19" xfId="0" applyFill="1" applyBorder="1" applyProtection="1">
      <protection locked="0"/>
    </xf>
    <xf numFmtId="2" fontId="0" fillId="2" borderId="22" xfId="0" applyNumberFormat="1" applyFill="1" applyBorder="1" applyProtection="1">
      <protection locked="0"/>
    </xf>
    <xf numFmtId="0" fontId="0" fillId="2" borderId="21" xfId="0" applyFill="1" applyBorder="1" applyProtection="1">
      <protection locked="0"/>
    </xf>
    <xf numFmtId="9" fontId="0" fillId="2" borderId="8" xfId="2" applyFont="1" applyFill="1" applyBorder="1" applyAlignment="1" applyProtection="1">
      <alignment horizontal="center"/>
      <protection locked="0"/>
    </xf>
    <xf numFmtId="44" fontId="0" fillId="2" borderId="11" xfId="1" applyFont="1" applyFill="1" applyBorder="1" applyAlignment="1" applyProtection="1">
      <alignment horizontal="center"/>
      <protection locked="0"/>
    </xf>
    <xf numFmtId="9" fontId="0" fillId="2" borderId="6" xfId="2" applyFont="1" applyFill="1" applyBorder="1" applyAlignment="1" applyProtection="1">
      <alignment horizontal="center"/>
      <protection locked="0"/>
    </xf>
    <xf numFmtId="9" fontId="0" fillId="2" borderId="10" xfId="2" applyFont="1" applyFill="1" applyBorder="1" applyAlignment="1" applyProtection="1">
      <alignment horizontal="center"/>
      <protection locked="0"/>
    </xf>
    <xf numFmtId="44" fontId="5" fillId="2" borderId="6" xfId="1" applyFont="1" applyFill="1" applyBorder="1" applyAlignment="1" applyProtection="1">
      <alignment horizontal="left" wrapText="1"/>
      <protection locked="0"/>
    </xf>
    <xf numFmtId="9" fontId="0" fillId="2" borderId="19" xfId="2" applyFont="1" applyFill="1" applyBorder="1" applyAlignment="1" applyProtection="1">
      <alignment horizontal="center"/>
      <protection locked="0"/>
    </xf>
    <xf numFmtId="0" fontId="0" fillId="2" borderId="6" xfId="0" applyFill="1" applyBorder="1" applyAlignment="1" applyProtection="1">
      <alignment horizontal="left"/>
      <protection locked="0"/>
    </xf>
    <xf numFmtId="0" fontId="0" fillId="5" borderId="0" xfId="0" applyFill="1" applyAlignment="1">
      <alignment horizontal="center"/>
    </xf>
    <xf numFmtId="164" fontId="0" fillId="5" borderId="0" xfId="1" applyNumberFormat="1" applyFont="1" applyFill="1" applyBorder="1" applyAlignment="1">
      <alignment horizontal="center"/>
    </xf>
    <xf numFmtId="164" fontId="2" fillId="5" borderId="0" xfId="1" applyNumberFormat="1" applyFont="1" applyFill="1" applyBorder="1" applyAlignment="1">
      <alignment horizontal="center"/>
    </xf>
    <xf numFmtId="164" fontId="2" fillId="5" borderId="16" xfId="1" applyNumberFormat="1" applyFont="1" applyFill="1" applyBorder="1" applyAlignment="1">
      <alignment horizontal="center"/>
    </xf>
    <xf numFmtId="0" fontId="0" fillId="5" borderId="28" xfId="0" applyFill="1" applyBorder="1"/>
    <xf numFmtId="0" fontId="0" fillId="5" borderId="29" xfId="0" applyFill="1" applyBorder="1"/>
    <xf numFmtId="44" fontId="2" fillId="5" borderId="23" xfId="1" applyFont="1" applyFill="1" applyBorder="1" applyAlignment="1">
      <alignment horizontal="center"/>
    </xf>
    <xf numFmtId="44" fontId="2" fillId="5" borderId="30" xfId="1" applyFont="1" applyFill="1" applyBorder="1" applyAlignment="1">
      <alignment horizontal="center"/>
    </xf>
    <xf numFmtId="0" fontId="0" fillId="5" borderId="28" xfId="0" applyFill="1" applyBorder="1" applyAlignment="1">
      <alignment horizontal="center"/>
    </xf>
    <xf numFmtId="0" fontId="0" fillId="5" borderId="29" xfId="0" applyFill="1" applyBorder="1" applyAlignment="1">
      <alignment horizontal="center"/>
    </xf>
    <xf numFmtId="164" fontId="0" fillId="5" borderId="28" xfId="1" applyNumberFormat="1" applyFont="1" applyFill="1" applyBorder="1" applyAlignment="1">
      <alignment horizontal="center"/>
    </xf>
    <xf numFmtId="164" fontId="0" fillId="5" borderId="29" xfId="1" applyNumberFormat="1" applyFont="1" applyFill="1" applyBorder="1" applyAlignment="1">
      <alignment horizontal="center"/>
    </xf>
    <xf numFmtId="164" fontId="2" fillId="5" borderId="28" xfId="1" applyNumberFormat="1" applyFont="1" applyFill="1" applyBorder="1" applyAlignment="1">
      <alignment horizontal="center"/>
    </xf>
    <xf numFmtId="164" fontId="2" fillId="5" borderId="29" xfId="1" applyNumberFormat="1" applyFont="1" applyFill="1" applyBorder="1" applyAlignment="1">
      <alignment horizontal="center"/>
    </xf>
    <xf numFmtId="164" fontId="2" fillId="5" borderId="23" xfId="0" applyNumberFormat="1" applyFont="1" applyFill="1" applyBorder="1"/>
    <xf numFmtId="164" fontId="2" fillId="5" borderId="30" xfId="0" applyNumberFormat="1" applyFont="1" applyFill="1" applyBorder="1"/>
    <xf numFmtId="0" fontId="0" fillId="5" borderId="0" xfId="0" applyFill="1"/>
    <xf numFmtId="164" fontId="0" fillId="5" borderId="0" xfId="0" applyNumberFormat="1" applyFill="1"/>
    <xf numFmtId="164" fontId="0" fillId="5" borderId="29" xfId="0" applyNumberFormat="1" applyFill="1" applyBorder="1"/>
    <xf numFmtId="164" fontId="2" fillId="5" borderId="30" xfId="1" applyNumberFormat="1" applyFont="1" applyFill="1" applyBorder="1" applyAlignment="1">
      <alignment horizontal="center"/>
    </xf>
    <xf numFmtId="164" fontId="2" fillId="5" borderId="16" xfId="0" applyNumberFormat="1" applyFont="1" applyFill="1" applyBorder="1"/>
    <xf numFmtId="164" fontId="2" fillId="5" borderId="32" xfId="1" applyNumberFormat="1" applyFont="1" applyFill="1" applyBorder="1" applyAlignment="1">
      <alignment horizontal="center"/>
    </xf>
    <xf numFmtId="164" fontId="2" fillId="5" borderId="33" xfId="1" applyNumberFormat="1" applyFont="1" applyFill="1" applyBorder="1" applyAlignment="1">
      <alignment horizontal="center"/>
    </xf>
    <xf numFmtId="164" fontId="2" fillId="5" borderId="34" xfId="1" applyNumberFormat="1" applyFont="1" applyFill="1" applyBorder="1" applyAlignment="1">
      <alignment horizontal="center"/>
    </xf>
    <xf numFmtId="1" fontId="0" fillId="2" borderId="20" xfId="1" applyNumberFormat="1" applyFont="1" applyFill="1" applyBorder="1" applyAlignment="1" applyProtection="1">
      <alignment horizontal="right"/>
      <protection locked="0"/>
    </xf>
    <xf numFmtId="1" fontId="0" fillId="0" borderId="6" xfId="0" applyNumberFormat="1" applyBorder="1"/>
    <xf numFmtId="44" fontId="0" fillId="0" borderId="0" xfId="0" applyNumberFormat="1"/>
    <xf numFmtId="2" fontId="0" fillId="0" borderId="0" xfId="0" applyNumberFormat="1" applyAlignment="1">
      <alignment horizontal="center"/>
    </xf>
    <xf numFmtId="0" fontId="0" fillId="0" borderId="0" xfId="0" applyAlignment="1">
      <alignment horizontal="left" vertical="top" wrapText="1"/>
    </xf>
    <xf numFmtId="9" fontId="0" fillId="2" borderId="21" xfId="2" applyFont="1" applyFill="1" applyBorder="1" applyAlignment="1" applyProtection="1">
      <alignment horizontal="center"/>
      <protection locked="0"/>
    </xf>
    <xf numFmtId="9" fontId="0" fillId="2" borderId="11" xfId="2" applyFont="1" applyFill="1" applyBorder="1" applyAlignment="1" applyProtection="1">
      <alignment horizontal="center"/>
      <protection locked="0"/>
    </xf>
    <xf numFmtId="44" fontId="0" fillId="0" borderId="6" xfId="1" applyFont="1" applyBorder="1" applyAlignment="1">
      <alignment horizontal="center"/>
    </xf>
    <xf numFmtId="44" fontId="0" fillId="0" borderId="10" xfId="1" applyFont="1" applyBorder="1" applyAlignment="1">
      <alignment horizontal="center"/>
    </xf>
    <xf numFmtId="1" fontId="0" fillId="0" borderId="6" xfId="0" applyNumberFormat="1" applyBorder="1" applyAlignment="1">
      <alignment horizontal="center"/>
    </xf>
    <xf numFmtId="1" fontId="0" fillId="0" borderId="10" xfId="0" applyNumberFormat="1" applyBorder="1" applyAlignment="1">
      <alignment horizontal="center"/>
    </xf>
    <xf numFmtId="0" fontId="2" fillId="3" borderId="7" xfId="0" applyFont="1" applyFill="1" applyBorder="1" applyAlignment="1">
      <alignment horizontal="center"/>
    </xf>
    <xf numFmtId="0" fontId="2" fillId="3" borderId="19" xfId="0" applyFont="1" applyFill="1" applyBorder="1" applyAlignment="1">
      <alignment horizontal="center"/>
    </xf>
    <xf numFmtId="0" fontId="0" fillId="0" borderId="5" xfId="0" applyBorder="1" applyAlignment="1">
      <alignment horizontal="left" wrapText="1"/>
    </xf>
    <xf numFmtId="0" fontId="0" fillId="4" borderId="0" xfId="0" applyFill="1"/>
    <xf numFmtId="0" fontId="2" fillId="4" borderId="0" xfId="0" applyFont="1" applyFill="1" applyAlignment="1">
      <alignment horizontal="center"/>
    </xf>
    <xf numFmtId="0" fontId="0" fillId="4" borderId="0" xfId="0" applyFill="1" applyAlignment="1">
      <alignment horizontal="center"/>
    </xf>
    <xf numFmtId="44" fontId="0" fillId="4" borderId="0" xfId="0" applyNumberFormat="1" applyFill="1"/>
    <xf numFmtId="0" fontId="2" fillId="4" borderId="35" xfId="0" applyFont="1" applyFill="1" applyBorder="1"/>
    <xf numFmtId="0" fontId="2" fillId="4" borderId="12" xfId="0" applyFont="1" applyFill="1" applyBorder="1"/>
    <xf numFmtId="0" fontId="2" fillId="4" borderId="36" xfId="0" applyFont="1" applyFill="1" applyBorder="1"/>
    <xf numFmtId="0" fontId="0" fillId="2" borderId="18" xfId="0" applyFill="1" applyBorder="1" applyProtection="1">
      <protection locked="0"/>
    </xf>
    <xf numFmtId="44" fontId="0" fillId="2" borderId="18" xfId="1" applyFont="1" applyFill="1" applyBorder="1" applyProtection="1">
      <protection locked="0"/>
    </xf>
    <xf numFmtId="164" fontId="2" fillId="6" borderId="23" xfId="0" applyNumberFormat="1" applyFont="1" applyFill="1" applyBorder="1"/>
    <xf numFmtId="0" fontId="0" fillId="6" borderId="28" xfId="0" applyFill="1" applyBorder="1"/>
    <xf numFmtId="0" fontId="0" fillId="6" borderId="0" xfId="0" applyFill="1"/>
    <xf numFmtId="0" fontId="0" fillId="6" borderId="29" xfId="0" applyFill="1" applyBorder="1"/>
    <xf numFmtId="164" fontId="0" fillId="6" borderId="0" xfId="0" applyNumberFormat="1" applyFill="1"/>
    <xf numFmtId="164" fontId="0" fillId="6" borderId="29" xfId="0" applyNumberFormat="1" applyFill="1" applyBorder="1"/>
    <xf numFmtId="44" fontId="2" fillId="6" borderId="23" xfId="1" applyFont="1" applyFill="1" applyBorder="1" applyAlignment="1">
      <alignment horizontal="center"/>
    </xf>
    <xf numFmtId="164" fontId="2" fillId="6" borderId="16" xfId="1" applyNumberFormat="1" applyFont="1" applyFill="1" applyBorder="1" applyAlignment="1">
      <alignment horizontal="center"/>
    </xf>
    <xf numFmtId="164" fontId="2" fillId="6" borderId="30" xfId="1" applyNumberFormat="1" applyFont="1" applyFill="1" applyBorder="1" applyAlignment="1">
      <alignment horizontal="center"/>
    </xf>
    <xf numFmtId="0" fontId="0" fillId="6" borderId="28" xfId="0" applyFill="1" applyBorder="1" applyAlignment="1">
      <alignment horizontal="center"/>
    </xf>
    <xf numFmtId="0" fontId="0" fillId="6" borderId="0" xfId="0" applyFill="1" applyAlignment="1">
      <alignment horizontal="center"/>
    </xf>
    <xf numFmtId="0" fontId="0" fillId="6" borderId="29" xfId="0" applyFill="1" applyBorder="1" applyAlignment="1">
      <alignment horizontal="center"/>
    </xf>
    <xf numFmtId="164" fontId="0" fillId="6" borderId="28" xfId="1" applyNumberFormat="1" applyFont="1" applyFill="1" applyBorder="1" applyAlignment="1">
      <alignment horizontal="center"/>
    </xf>
    <xf numFmtId="164" fontId="0" fillId="6" borderId="0" xfId="1" applyNumberFormat="1" applyFont="1" applyFill="1" applyBorder="1" applyAlignment="1">
      <alignment horizontal="center"/>
    </xf>
    <xf numFmtId="164" fontId="0" fillId="6" borderId="29" xfId="1" applyNumberFormat="1" applyFont="1" applyFill="1" applyBorder="1" applyAlignment="1">
      <alignment horizontal="center"/>
    </xf>
    <xf numFmtId="164" fontId="2" fillId="6" borderId="28" xfId="1" applyNumberFormat="1" applyFont="1" applyFill="1" applyBorder="1" applyAlignment="1">
      <alignment horizontal="center"/>
    </xf>
    <xf numFmtId="164" fontId="2" fillId="6" borderId="0" xfId="1" applyNumberFormat="1" applyFont="1" applyFill="1" applyBorder="1" applyAlignment="1">
      <alignment horizontal="center"/>
    </xf>
    <xf numFmtId="164" fontId="2" fillId="6" borderId="29" xfId="1" applyNumberFormat="1" applyFont="1" applyFill="1" applyBorder="1" applyAlignment="1">
      <alignment horizontal="center"/>
    </xf>
    <xf numFmtId="164" fontId="2" fillId="6" borderId="32" xfId="1" applyNumberFormat="1" applyFont="1" applyFill="1" applyBorder="1" applyAlignment="1">
      <alignment horizontal="center"/>
    </xf>
    <xf numFmtId="164" fontId="2" fillId="6" borderId="34" xfId="1" applyNumberFormat="1" applyFont="1" applyFill="1" applyBorder="1" applyAlignment="1">
      <alignment horizontal="center"/>
    </xf>
    <xf numFmtId="164" fontId="2" fillId="6" borderId="33" xfId="1" applyNumberFormat="1" applyFont="1" applyFill="1" applyBorder="1" applyAlignment="1">
      <alignment horizontal="center"/>
    </xf>
    <xf numFmtId="164" fontId="2" fillId="6" borderId="16" xfId="0" applyNumberFormat="1" applyFont="1" applyFill="1" applyBorder="1"/>
    <xf numFmtId="164" fontId="2" fillId="6" borderId="30" xfId="0" applyNumberFormat="1" applyFont="1" applyFill="1" applyBorder="1"/>
    <xf numFmtId="164" fontId="2" fillId="5" borderId="28" xfId="0" applyNumberFormat="1" applyFont="1" applyFill="1" applyBorder="1"/>
    <xf numFmtId="164" fontId="2" fillId="5" borderId="29" xfId="0" applyNumberFormat="1" applyFont="1" applyFill="1" applyBorder="1"/>
    <xf numFmtId="164" fontId="2" fillId="6" borderId="28" xfId="0" applyNumberFormat="1" applyFont="1" applyFill="1" applyBorder="1"/>
    <xf numFmtId="164" fontId="2" fillId="6" borderId="0" xfId="0" applyNumberFormat="1" applyFont="1" applyFill="1"/>
    <xf numFmtId="164" fontId="2" fillId="6" borderId="29" xfId="0" applyNumberFormat="1" applyFont="1" applyFill="1" applyBorder="1"/>
    <xf numFmtId="164" fontId="2" fillId="5" borderId="0" xfId="0" applyNumberFormat="1" applyFont="1" applyFill="1"/>
    <xf numFmtId="0" fontId="2" fillId="0" borderId="0" xfId="0" applyFont="1" applyAlignment="1">
      <alignment horizontal="center"/>
    </xf>
    <xf numFmtId="164" fontId="0" fillId="4" borderId="0" xfId="1" applyNumberFormat="1" applyFont="1" applyFill="1"/>
    <xf numFmtId="44" fontId="0" fillId="0" borderId="0" xfId="0" applyNumberFormat="1" applyAlignment="1">
      <alignment horizontal="left" indent="1"/>
    </xf>
    <xf numFmtId="164" fontId="0" fillId="0" borderId="0" xfId="0" applyNumberFormat="1"/>
    <xf numFmtId="9" fontId="0" fillId="0" borderId="0" xfId="0" applyNumberFormat="1"/>
    <xf numFmtId="0" fontId="2" fillId="3" borderId="19" xfId="0" applyFont="1" applyFill="1" applyBorder="1" applyAlignment="1">
      <alignment horizontal="center" wrapText="1"/>
    </xf>
    <xf numFmtId="44" fontId="0" fillId="2" borderId="20" xfId="1" applyFont="1" applyFill="1" applyBorder="1" applyProtection="1">
      <protection locked="0"/>
    </xf>
    <xf numFmtId="0" fontId="5" fillId="0" borderId="0" xfId="0" applyFont="1" applyAlignment="1">
      <alignment wrapText="1"/>
    </xf>
    <xf numFmtId="0" fontId="5" fillId="0" borderId="5" xfId="0" applyFont="1" applyBorder="1" applyAlignment="1">
      <alignment wrapText="1"/>
    </xf>
    <xf numFmtId="0" fontId="7" fillId="0" borderId="0" xfId="0" applyFont="1"/>
    <xf numFmtId="0" fontId="0" fillId="0" borderId="18" xfId="0" applyBorder="1"/>
    <xf numFmtId="0" fontId="2" fillId="0" borderId="6" xfId="0" applyFont="1" applyBorder="1"/>
    <xf numFmtId="1" fontId="0" fillId="0" borderId="6" xfId="1" applyNumberFormat="1" applyFont="1" applyFill="1" applyBorder="1"/>
    <xf numFmtId="44" fontId="0" fillId="0" borderId="6" xfId="1" applyFont="1" applyFill="1" applyBorder="1"/>
    <xf numFmtId="0" fontId="2" fillId="3" borderId="37" xfId="0" applyFont="1" applyFill="1" applyBorder="1"/>
    <xf numFmtId="0" fontId="0" fillId="0" borderId="37" xfId="0" applyBorder="1"/>
    <xf numFmtId="0" fontId="2" fillId="5" borderId="28" xfId="0" applyFont="1" applyFill="1" applyBorder="1" applyAlignment="1">
      <alignment horizontal="center"/>
    </xf>
    <xf numFmtId="0" fontId="2" fillId="5" borderId="29" xfId="0" applyFont="1" applyFill="1" applyBorder="1" applyAlignment="1">
      <alignment horizontal="center"/>
    </xf>
    <xf numFmtId="1" fontId="2" fillId="5" borderId="0" xfId="0" applyNumberFormat="1" applyFont="1" applyFill="1" applyAlignment="1">
      <alignment horizontal="center"/>
    </xf>
    <xf numFmtId="1" fontId="2" fillId="5" borderId="29" xfId="0" applyNumberFormat="1" applyFont="1" applyFill="1" applyBorder="1" applyAlignment="1">
      <alignment horizontal="center"/>
    </xf>
    <xf numFmtId="0" fontId="2" fillId="6" borderId="28" xfId="0" applyFont="1" applyFill="1" applyBorder="1" applyAlignment="1">
      <alignment horizontal="center"/>
    </xf>
    <xf numFmtId="1" fontId="2" fillId="6" borderId="0" xfId="0" applyNumberFormat="1" applyFont="1" applyFill="1" applyAlignment="1">
      <alignment horizontal="center"/>
    </xf>
    <xf numFmtId="1" fontId="2" fillId="6" borderId="29" xfId="0" applyNumberFormat="1" applyFont="1" applyFill="1" applyBorder="1" applyAlignment="1">
      <alignment horizontal="center"/>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0" xfId="0" applyFont="1" applyAlignment="1">
      <alignment horizontal="left" wrapText="1"/>
    </xf>
    <xf numFmtId="0" fontId="5" fillId="0" borderId="0" xfId="0" applyFont="1" applyAlignment="1">
      <alignment horizontal="left" vertical="top" wrapText="1"/>
    </xf>
    <xf numFmtId="0" fontId="13" fillId="0" borderId="0" xfId="0" applyFont="1"/>
    <xf numFmtId="0" fontId="2" fillId="4" borderId="22" xfId="0" applyFont="1" applyFill="1" applyBorder="1" applyAlignment="1">
      <alignment horizontal="center"/>
    </xf>
    <xf numFmtId="1" fontId="0" fillId="0" borderId="22" xfId="0" applyNumberFormat="1" applyBorder="1" applyProtection="1">
      <protection locked="0"/>
    </xf>
    <xf numFmtId="44" fontId="0" fillId="0" borderId="0" xfId="1" applyFont="1" applyFill="1" applyBorder="1"/>
    <xf numFmtId="0" fontId="0" fillId="0" borderId="5" xfId="0" applyBorder="1" applyAlignment="1">
      <alignment horizontal="center"/>
    </xf>
    <xf numFmtId="44" fontId="0" fillId="0" borderId="6" xfId="1" applyFont="1" applyFill="1" applyBorder="1" applyAlignment="1" applyProtection="1">
      <alignment horizontal="center"/>
      <protection locked="0"/>
    </xf>
    <xf numFmtId="44" fontId="0" fillId="0" borderId="0" xfId="1" applyFont="1" applyFill="1" applyBorder="1" applyAlignment="1" applyProtection="1">
      <alignment horizontal="center"/>
      <protection locked="0"/>
    </xf>
    <xf numFmtId="0" fontId="0" fillId="0" borderId="11" xfId="0" applyBorder="1"/>
    <xf numFmtId="0" fontId="7" fillId="0" borderId="0" xfId="0" applyFont="1" applyAlignment="1">
      <alignment horizontal="center"/>
    </xf>
    <xf numFmtId="0" fontId="7" fillId="0" borderId="0" xfId="0" applyFont="1" applyAlignment="1">
      <alignment horizontal="center" vertical="center"/>
    </xf>
    <xf numFmtId="0" fontId="7" fillId="0" borderId="5" xfId="0" applyFont="1" applyBorder="1" applyAlignment="1">
      <alignment horizontal="center"/>
    </xf>
    <xf numFmtId="0" fontId="0" fillId="0" borderId="0" xfId="0" applyAlignment="1">
      <alignment horizontal="center"/>
    </xf>
    <xf numFmtId="44" fontId="0" fillId="0" borderId="0" xfId="1" applyFont="1" applyFill="1" applyBorder="1" applyProtection="1">
      <protection locked="0"/>
    </xf>
    <xf numFmtId="44" fontId="2" fillId="0" borderId="0" xfId="1" applyFont="1" applyBorder="1"/>
    <xf numFmtId="1" fontId="2" fillId="0" borderId="0" xfId="1" applyNumberFormat="1" applyFont="1" applyFill="1" applyBorder="1" applyProtection="1">
      <protection locked="0"/>
    </xf>
    <xf numFmtId="0" fontId="0" fillId="0" borderId="0" xfId="0" applyProtection="1">
      <protection locked="0"/>
    </xf>
    <xf numFmtId="0" fontId="0" fillId="2" borderId="19" xfId="1" applyNumberFormat="1" applyFont="1" applyFill="1" applyBorder="1" applyProtection="1">
      <protection locked="0"/>
    </xf>
    <xf numFmtId="0" fontId="2" fillId="0" borderId="25" xfId="0" applyFont="1" applyBorder="1" applyProtection="1">
      <protection locked="0"/>
    </xf>
    <xf numFmtId="44" fontId="0" fillId="0" borderId="26" xfId="1" applyFont="1" applyFill="1" applyBorder="1" applyProtection="1">
      <protection locked="0"/>
    </xf>
    <xf numFmtId="1" fontId="2" fillId="0" borderId="26" xfId="1" applyNumberFormat="1" applyFont="1" applyFill="1" applyBorder="1" applyProtection="1">
      <protection locked="0"/>
    </xf>
    <xf numFmtId="44" fontId="2" fillId="0" borderId="27" xfId="1" applyFont="1" applyBorder="1"/>
    <xf numFmtId="0" fontId="14" fillId="0" borderId="0" xfId="0" applyFont="1"/>
    <xf numFmtId="44" fontId="0" fillId="0" borderId="14" xfId="1" applyFont="1" applyFill="1" applyBorder="1"/>
    <xf numFmtId="0" fontId="2" fillId="3" borderId="22" xfId="0" applyFont="1" applyFill="1" applyBorder="1" applyAlignment="1">
      <alignment horizontal="center"/>
    </xf>
    <xf numFmtId="1" fontId="2" fillId="5" borderId="24" xfId="0" applyNumberFormat="1" applyFont="1" applyFill="1" applyBorder="1" applyAlignment="1">
      <alignment horizontal="center"/>
    </xf>
    <xf numFmtId="0" fontId="2" fillId="0" borderId="0" xfId="0" applyFont="1" applyAlignment="1">
      <alignment horizontal="center" wrapText="1"/>
    </xf>
    <xf numFmtId="0" fontId="2" fillId="0" borderId="6" xfId="0" applyFont="1" applyBorder="1" applyAlignment="1">
      <alignment horizontal="center" wrapText="1"/>
    </xf>
    <xf numFmtId="0" fontId="2" fillId="0" borderId="19" xfId="0" applyFont="1" applyBorder="1" applyAlignment="1">
      <alignment horizont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2" fontId="0" fillId="0" borderId="7" xfId="0" applyNumberFormat="1" applyBorder="1" applyAlignment="1">
      <alignment horizontal="center"/>
    </xf>
    <xf numFmtId="2" fontId="0" fillId="0" borderId="9" xfId="0" applyNumberFormat="1" applyBorder="1" applyAlignment="1">
      <alignment horizontal="center"/>
    </xf>
    <xf numFmtId="2" fontId="0" fillId="0" borderId="7" xfId="0" applyNumberFormat="1" applyBorder="1" applyAlignment="1">
      <alignment horizontal="center" vertical="center"/>
    </xf>
    <xf numFmtId="0" fontId="2" fillId="3" borderId="4" xfId="0" applyFont="1" applyFill="1" applyBorder="1" applyAlignment="1">
      <alignment horizontal="center"/>
    </xf>
    <xf numFmtId="9" fontId="0" fillId="0" borderId="0" xfId="2" applyFont="1" applyFill="1" applyBorder="1" applyAlignment="1" applyProtection="1">
      <alignment horizontal="center"/>
      <protection locked="0"/>
    </xf>
    <xf numFmtId="165" fontId="0" fillId="0" borderId="0" xfId="2" applyNumberFormat="1" applyFont="1" applyFill="1" applyBorder="1" applyAlignment="1" applyProtection="1">
      <alignment horizontal="center"/>
      <protection locked="0"/>
    </xf>
    <xf numFmtId="2" fontId="0" fillId="0" borderId="0" xfId="0" applyNumberFormat="1" applyAlignment="1" applyProtection="1">
      <alignment horizontal="center"/>
      <protection locked="0"/>
    </xf>
    <xf numFmtId="1" fontId="0" fillId="0" borderId="0" xfId="0" applyNumberFormat="1" applyAlignment="1">
      <alignment horizontal="center"/>
    </xf>
    <xf numFmtId="1" fontId="0" fillId="0" borderId="0" xfId="0" applyNumberFormat="1" applyAlignment="1">
      <alignment horizontal="center" wrapText="1"/>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5" fillId="0" borderId="4" xfId="0" applyFont="1" applyBorder="1" applyAlignment="1">
      <alignment vertical="center" wrapText="1"/>
    </xf>
    <xf numFmtId="0" fontId="5" fillId="0" borderId="0" xfId="0" applyFont="1" applyAlignment="1">
      <alignment vertical="center" wrapText="1"/>
    </xf>
    <xf numFmtId="0" fontId="2" fillId="3" borderId="7" xfId="0" applyFont="1" applyFill="1" applyBorder="1" applyAlignment="1">
      <alignment horizontal="center" wrapText="1"/>
    </xf>
    <xf numFmtId="0" fontId="2" fillId="3" borderId="8" xfId="0" applyFont="1" applyFill="1" applyBorder="1" applyAlignment="1">
      <alignment horizontal="center" wrapText="1"/>
    </xf>
    <xf numFmtId="0" fontId="2" fillId="0" borderId="37" xfId="0" applyFont="1" applyBorder="1" applyAlignment="1">
      <alignment horizontal="center"/>
    </xf>
    <xf numFmtId="0" fontId="2" fillId="0" borderId="31" xfId="0" applyFont="1" applyBorder="1" applyAlignment="1">
      <alignment horizontal="center"/>
    </xf>
    <xf numFmtId="1" fontId="0" fillId="9" borderId="7" xfId="2" applyNumberFormat="1" applyFont="1" applyFill="1" applyBorder="1" applyAlignment="1" applyProtection="1">
      <alignment horizontal="center"/>
      <protection locked="0"/>
    </xf>
    <xf numFmtId="1" fontId="0" fillId="9" borderId="8" xfId="0" applyNumberFormat="1" applyFill="1" applyBorder="1" applyAlignment="1">
      <alignment horizontal="center" wrapText="1"/>
    </xf>
    <xf numFmtId="1" fontId="0" fillId="9" borderId="9" xfId="2" applyNumberFormat="1" applyFont="1" applyFill="1" applyBorder="1" applyAlignment="1" applyProtection="1">
      <alignment horizontal="center"/>
      <protection locked="0"/>
    </xf>
    <xf numFmtId="1" fontId="0" fillId="9" borderId="11" xfId="0" applyNumberFormat="1" applyFill="1" applyBorder="1" applyAlignment="1">
      <alignment horizontal="center" wrapText="1"/>
    </xf>
    <xf numFmtId="0" fontId="2" fillId="3" borderId="37" xfId="0" applyFont="1" applyFill="1" applyBorder="1" applyAlignment="1">
      <alignment horizontal="center"/>
    </xf>
    <xf numFmtId="0" fontId="0" fillId="0" borderId="37" xfId="0" applyBorder="1" applyAlignment="1">
      <alignment horizontal="center"/>
    </xf>
    <xf numFmtId="0" fontId="0" fillId="0" borderId="46" xfId="0" applyBorder="1" applyAlignment="1">
      <alignment horizontal="center"/>
    </xf>
    <xf numFmtId="1" fontId="0" fillId="8" borderId="7" xfId="2" applyNumberFormat="1" applyFont="1" applyFill="1" applyBorder="1" applyAlignment="1" applyProtection="1">
      <alignment horizontal="center"/>
      <protection locked="0"/>
    </xf>
    <xf numFmtId="1" fontId="0" fillId="8" borderId="8" xfId="0" applyNumberFormat="1" applyFill="1" applyBorder="1" applyAlignment="1" applyProtection="1">
      <alignment horizontal="center"/>
      <protection locked="0"/>
    </xf>
    <xf numFmtId="1" fontId="0" fillId="8" borderId="9" xfId="2" applyNumberFormat="1" applyFont="1" applyFill="1" applyBorder="1" applyAlignment="1" applyProtection="1">
      <alignment horizontal="center"/>
      <protection locked="0"/>
    </xf>
    <xf numFmtId="1" fontId="0" fillId="8" borderId="11" xfId="0" applyNumberFormat="1" applyFill="1" applyBorder="1" applyAlignment="1" applyProtection="1">
      <alignment horizontal="center"/>
      <protection locked="0"/>
    </xf>
    <xf numFmtId="0" fontId="2" fillId="3" borderId="31" xfId="0" applyFont="1" applyFill="1" applyBorder="1" applyAlignment="1">
      <alignment horizontal="center"/>
    </xf>
    <xf numFmtId="9" fontId="0" fillId="2" borderId="31" xfId="2" applyFont="1" applyFill="1" applyBorder="1" applyAlignment="1" applyProtection="1">
      <alignment horizontal="center"/>
      <protection locked="0"/>
    </xf>
    <xf numFmtId="9" fontId="0" fillId="2" borderId="45" xfId="2" applyFont="1" applyFill="1" applyBorder="1" applyAlignment="1" applyProtection="1">
      <alignment horizontal="center"/>
      <protection locked="0"/>
    </xf>
    <xf numFmtId="0" fontId="2" fillId="3" borderId="44" xfId="0" applyFont="1" applyFill="1" applyBorder="1" applyAlignment="1">
      <alignment horizontal="center" wrapText="1"/>
    </xf>
    <xf numFmtId="1" fontId="0" fillId="0" borderId="44" xfId="0" applyNumberFormat="1" applyBorder="1" applyAlignment="1">
      <alignment horizontal="center" wrapText="1"/>
    </xf>
    <xf numFmtId="1" fontId="0" fillId="0" borderId="50" xfId="0" applyNumberFormat="1" applyBorder="1" applyAlignment="1">
      <alignment horizontal="center" wrapText="1"/>
    </xf>
    <xf numFmtId="0" fontId="2" fillId="3" borderId="49" xfId="0" applyFont="1" applyFill="1" applyBorder="1" applyAlignment="1">
      <alignment horizontal="center"/>
    </xf>
    <xf numFmtId="0" fontId="7" fillId="0" borderId="1" xfId="0" applyFont="1" applyBorder="1"/>
    <xf numFmtId="0" fontId="5" fillId="0" borderId="4" xfId="0" applyFont="1" applyBorder="1" applyAlignment="1">
      <alignment wrapText="1"/>
    </xf>
    <xf numFmtId="0" fontId="7" fillId="0" borderId="4" xfId="0" applyFont="1" applyBorder="1"/>
    <xf numFmtId="165" fontId="0" fillId="0" borderId="8" xfId="0" applyNumberFormat="1" applyBorder="1"/>
    <xf numFmtId="2" fontId="0" fillId="0" borderId="8" xfId="0" applyNumberFormat="1" applyBorder="1"/>
    <xf numFmtId="1" fontId="0" fillId="0" borderId="8" xfId="0" applyNumberFormat="1" applyBorder="1"/>
    <xf numFmtId="165" fontId="0" fillId="0" borderId="14" xfId="0" applyNumberFormat="1" applyBorder="1"/>
    <xf numFmtId="165" fontId="0" fillId="0" borderId="5" xfId="0" applyNumberFormat="1" applyBorder="1"/>
    <xf numFmtId="164" fontId="0" fillId="0" borderId="8" xfId="0" applyNumberFormat="1" applyBorder="1"/>
    <xf numFmtId="44" fontId="0" fillId="0" borderId="8" xfId="0" applyNumberFormat="1" applyBorder="1"/>
    <xf numFmtId="164" fontId="2" fillId="0" borderId="8" xfId="1" applyNumberFormat="1" applyFont="1" applyBorder="1"/>
    <xf numFmtId="44" fontId="2" fillId="0" borderId="8" xfId="0" applyNumberFormat="1" applyFont="1" applyBorder="1"/>
    <xf numFmtId="44" fontId="0" fillId="0" borderId="5" xfId="0" applyNumberFormat="1" applyBorder="1"/>
    <xf numFmtId="0" fontId="2" fillId="0" borderId="7" xfId="0" applyFont="1" applyBorder="1" applyAlignment="1">
      <alignment horizontal="right"/>
    </xf>
    <xf numFmtId="0" fontId="2" fillId="0" borderId="7" xfId="0" applyFont="1" applyBorder="1" applyAlignment="1">
      <alignment horizontal="center"/>
    </xf>
    <xf numFmtId="0" fontId="0" fillId="0" borderId="6" xfId="0" applyBorder="1" applyAlignment="1">
      <alignment horizontal="center"/>
    </xf>
    <xf numFmtId="0" fontId="2" fillId="0" borderId="13" xfId="0" applyFont="1" applyBorder="1" applyAlignment="1">
      <alignment horizontal="right"/>
    </xf>
    <xf numFmtId="0" fontId="0" fillId="0" borderId="13" xfId="0" applyBorder="1" applyAlignment="1">
      <alignment horizontal="center"/>
    </xf>
    <xf numFmtId="1" fontId="0" fillId="0" borderId="18" xfId="0" applyNumberFormat="1" applyBorder="1" applyAlignment="1">
      <alignment horizontal="center"/>
    </xf>
    <xf numFmtId="0" fontId="0" fillId="0" borderId="10" xfId="0"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165" fontId="0" fillId="0" borderId="7" xfId="0" applyNumberFormat="1" applyBorder="1" applyAlignment="1">
      <alignment horizontal="center"/>
    </xf>
    <xf numFmtId="165" fontId="0" fillId="0" borderId="13" xfId="0" applyNumberFormat="1" applyBorder="1" applyAlignment="1">
      <alignment horizontal="center"/>
    </xf>
    <xf numFmtId="165" fontId="0" fillId="0" borderId="9" xfId="0" applyNumberFormat="1" applyBorder="1" applyAlignment="1">
      <alignment horizontal="center"/>
    </xf>
    <xf numFmtId="0" fontId="2" fillId="0" borderId="38" xfId="0" applyFont="1" applyBorder="1" applyAlignment="1">
      <alignment horizontal="center" wrapText="1"/>
    </xf>
    <xf numFmtId="44" fontId="0" fillId="0" borderId="38" xfId="1" applyFont="1" applyBorder="1" applyAlignment="1">
      <alignment horizontal="center"/>
    </xf>
    <xf numFmtId="44" fontId="0" fillId="0" borderId="52" xfId="1" applyFont="1" applyBorder="1" applyAlignment="1">
      <alignment horizontal="center"/>
    </xf>
    <xf numFmtId="0" fontId="2" fillId="0" borderId="1" xfId="0" applyFont="1" applyBorder="1" applyAlignment="1">
      <alignment vertical="center"/>
    </xf>
    <xf numFmtId="164" fontId="2" fillId="0" borderId="0" xfId="0" applyNumberFormat="1" applyFont="1"/>
    <xf numFmtId="0" fontId="0" fillId="0" borderId="51" xfId="0" applyBorder="1" applyAlignment="1">
      <alignment horizontal="left"/>
    </xf>
    <xf numFmtId="0" fontId="0" fillId="2" borderId="5" xfId="0" applyFill="1" applyBorder="1" applyAlignment="1" applyProtection="1">
      <alignment horizontal="center"/>
      <protection locked="0"/>
    </xf>
    <xf numFmtId="0" fontId="0" fillId="2" borderId="11" xfId="0" applyFill="1" applyBorder="1" applyAlignment="1" applyProtection="1">
      <alignment horizontal="center"/>
      <protection locked="0"/>
    </xf>
    <xf numFmtId="0" fontId="0" fillId="2" borderId="6" xfId="1" applyNumberFormat="1" applyFont="1" applyFill="1" applyBorder="1" applyProtection="1">
      <protection locked="0"/>
    </xf>
    <xf numFmtId="0" fontId="0" fillId="2" borderId="10" xfId="0" applyFill="1" applyBorder="1" applyAlignment="1" applyProtection="1">
      <alignment horizontal="left"/>
      <protection locked="0"/>
    </xf>
    <xf numFmtId="1" fontId="0" fillId="2" borderId="6" xfId="0" applyNumberFormat="1" applyFill="1" applyBorder="1" applyAlignment="1" applyProtection="1">
      <alignment horizontal="right" wrapText="1"/>
      <protection locked="0"/>
    </xf>
    <xf numFmtId="2" fontId="0" fillId="2" borderId="6" xfId="0" applyNumberFormat="1" applyFill="1" applyBorder="1" applyAlignment="1" applyProtection="1">
      <alignment horizontal="right" wrapText="1"/>
      <protection locked="0"/>
    </xf>
    <xf numFmtId="44" fontId="0" fillId="2" borderId="6" xfId="1" applyFont="1" applyFill="1" applyBorder="1" applyAlignment="1" applyProtection="1">
      <alignment horizontal="right" wrapText="1"/>
      <protection locked="0"/>
    </xf>
    <xf numFmtId="0" fontId="0" fillId="7" borderId="6" xfId="0" applyFill="1" applyBorder="1" applyAlignment="1" applyProtection="1">
      <alignment horizontal="center"/>
      <protection locked="0"/>
    </xf>
    <xf numFmtId="9" fontId="0" fillId="7" borderId="6" xfId="2" applyFont="1" applyFill="1" applyBorder="1" applyAlignment="1" applyProtection="1">
      <alignment horizontal="center"/>
      <protection locked="0"/>
    </xf>
    <xf numFmtId="9" fontId="0" fillId="7" borderId="8" xfId="2" applyFont="1" applyFill="1" applyBorder="1" applyAlignment="1" applyProtection="1">
      <alignment horizontal="center"/>
      <protection locked="0"/>
    </xf>
    <xf numFmtId="9" fontId="0" fillId="7" borderId="18" xfId="2" applyFont="1" applyFill="1" applyBorder="1" applyAlignment="1" applyProtection="1">
      <alignment horizontal="center"/>
      <protection locked="0"/>
    </xf>
    <xf numFmtId="9" fontId="0" fillId="7" borderId="14" xfId="2" applyFont="1" applyFill="1" applyBorder="1" applyAlignment="1" applyProtection="1">
      <alignment horizontal="center"/>
      <protection locked="0"/>
    </xf>
    <xf numFmtId="9" fontId="0" fillId="7" borderId="10" xfId="2" applyFont="1" applyFill="1" applyBorder="1" applyAlignment="1" applyProtection="1">
      <alignment horizontal="center"/>
      <protection locked="0"/>
    </xf>
    <xf numFmtId="9" fontId="0" fillId="7" borderId="11" xfId="2" applyFont="1" applyFill="1" applyBorder="1" applyAlignment="1" applyProtection="1">
      <alignment horizontal="center"/>
      <protection locked="0"/>
    </xf>
    <xf numFmtId="9" fontId="0" fillId="7" borderId="19" xfId="2" applyFont="1" applyFill="1" applyBorder="1" applyAlignment="1" applyProtection="1">
      <alignment horizontal="center"/>
      <protection locked="0"/>
    </xf>
    <xf numFmtId="9" fontId="0" fillId="7" borderId="20" xfId="2" applyFont="1" applyFill="1" applyBorder="1" applyAlignment="1" applyProtection="1">
      <alignment horizontal="center"/>
      <protection locked="0"/>
    </xf>
    <xf numFmtId="9" fontId="0" fillId="7" borderId="21" xfId="2" applyFont="1" applyFill="1" applyBorder="1" applyAlignment="1" applyProtection="1">
      <alignment horizontal="center"/>
      <protection locked="0"/>
    </xf>
    <xf numFmtId="44" fontId="0" fillId="7" borderId="6" xfId="1" applyFont="1" applyFill="1" applyBorder="1" applyProtection="1">
      <protection locked="0"/>
    </xf>
    <xf numFmtId="44" fontId="0" fillId="7" borderId="10" xfId="1" applyFont="1" applyFill="1" applyBorder="1" applyProtection="1">
      <protection locked="0"/>
    </xf>
    <xf numFmtId="165" fontId="0" fillId="7" borderId="8" xfId="0" applyNumberFormat="1" applyFill="1" applyBorder="1" applyProtection="1">
      <protection locked="0"/>
    </xf>
    <xf numFmtId="0" fontId="0" fillId="7" borderId="8" xfId="0" applyFill="1" applyBorder="1" applyProtection="1">
      <protection locked="0"/>
    </xf>
    <xf numFmtId="9" fontId="0" fillId="7" borderId="8" xfId="2" applyFont="1" applyFill="1" applyBorder="1" applyProtection="1">
      <protection locked="0"/>
    </xf>
    <xf numFmtId="44" fontId="0" fillId="7" borderId="14" xfId="1" applyFont="1" applyFill="1" applyBorder="1" applyProtection="1">
      <protection locked="0"/>
    </xf>
    <xf numFmtId="44" fontId="0" fillId="7" borderId="8" xfId="2" applyNumberFormat="1" applyFont="1" applyFill="1" applyBorder="1" applyProtection="1">
      <protection locked="0"/>
    </xf>
    <xf numFmtId="164" fontId="0" fillId="7" borderId="6" xfId="1" applyNumberFormat="1" applyFont="1" applyFill="1" applyBorder="1" applyAlignment="1" applyProtection="1">
      <alignment horizontal="center"/>
      <protection locked="0"/>
    </xf>
    <xf numFmtId="44" fontId="0" fillId="7" borderId="6" xfId="1" applyFont="1" applyFill="1" applyBorder="1" applyAlignment="1" applyProtection="1">
      <alignment horizontal="center"/>
      <protection locked="0"/>
    </xf>
    <xf numFmtId="165" fontId="0" fillId="7" borderId="6" xfId="0" applyNumberFormat="1" applyFill="1" applyBorder="1" applyAlignment="1" applyProtection="1">
      <alignment horizontal="center"/>
      <protection locked="0"/>
    </xf>
    <xf numFmtId="0" fontId="0" fillId="7" borderId="6" xfId="1" applyNumberFormat="1" applyFont="1" applyFill="1" applyBorder="1" applyAlignment="1" applyProtection="1">
      <alignment horizontal="center"/>
      <protection locked="0"/>
    </xf>
    <xf numFmtId="0" fontId="7" fillId="0" borderId="4" xfId="0" applyFont="1" applyBorder="1" applyAlignment="1">
      <alignment horizontal="center"/>
    </xf>
    <xf numFmtId="0" fontId="7" fillId="0" borderId="0" xfId="0" applyFont="1" applyAlignment="1">
      <alignment horizontal="center"/>
    </xf>
    <xf numFmtId="0" fontId="7" fillId="0" borderId="5" xfId="0" applyFont="1" applyBorder="1" applyAlignment="1">
      <alignment horizontal="center"/>
    </xf>
    <xf numFmtId="0" fontId="8" fillId="0" borderId="0" xfId="0" applyFont="1" applyAlignment="1">
      <alignment horizontal="left" vertical="top" wrapText="1"/>
    </xf>
    <xf numFmtId="0" fontId="11" fillId="0" borderId="0" xfId="0" applyFont="1" applyAlignment="1">
      <alignment horizontal="center" vertical="center"/>
    </xf>
    <xf numFmtId="0" fontId="3" fillId="0" borderId="0" xfId="0" applyFont="1" applyAlignment="1">
      <alignment horizont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Alignment="1">
      <alignment horizontal="center" vertical="center"/>
    </xf>
    <xf numFmtId="0" fontId="7" fillId="0" borderId="5" xfId="0" applyFont="1" applyBorder="1" applyAlignment="1">
      <alignment horizontal="center" vertical="center"/>
    </xf>
    <xf numFmtId="0" fontId="7" fillId="0" borderId="1" xfId="0" applyFont="1" applyBorder="1" applyAlignment="1">
      <alignment horizontal="center"/>
    </xf>
    <xf numFmtId="0" fontId="7" fillId="0" borderId="2" xfId="0" applyFont="1" applyBorder="1" applyAlignment="1">
      <alignment horizontal="center"/>
    </xf>
    <xf numFmtId="0" fontId="7" fillId="0" borderId="3" xfId="0" applyFont="1" applyBorder="1" applyAlignment="1">
      <alignment horizontal="center"/>
    </xf>
    <xf numFmtId="0" fontId="5" fillId="0" borderId="4" xfId="0" applyFont="1" applyBorder="1" applyAlignment="1">
      <alignment horizontal="left" wrapText="1"/>
    </xf>
    <xf numFmtId="0" fontId="5" fillId="0" borderId="0" xfId="0" applyFont="1" applyAlignment="1">
      <alignment horizontal="left" wrapText="1"/>
    </xf>
    <xf numFmtId="0" fontId="5" fillId="0" borderId="5" xfId="0" applyFont="1" applyBorder="1" applyAlignment="1">
      <alignment horizontal="left" wrapText="1"/>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5" fillId="0" borderId="15" xfId="0" applyFont="1" applyBorder="1" applyAlignment="1">
      <alignment horizontal="left" wrapText="1"/>
    </xf>
    <xf numFmtId="0" fontId="5" fillId="0" borderId="17" xfId="0" applyFont="1" applyBorder="1" applyAlignment="1">
      <alignment horizontal="left" wrapText="1"/>
    </xf>
    <xf numFmtId="0" fontId="5" fillId="0" borderId="16" xfId="0" applyFont="1" applyBorder="1" applyAlignment="1">
      <alignment horizontal="left" wrapText="1"/>
    </xf>
    <xf numFmtId="0" fontId="5" fillId="0" borderId="15"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25" xfId="0" applyFont="1" applyBorder="1" applyAlignment="1">
      <alignment horizontal="left" wrapText="1"/>
    </xf>
    <xf numFmtId="0" fontId="5" fillId="0" borderId="26" xfId="0" applyFont="1" applyBorder="1" applyAlignment="1">
      <alignment horizontal="left" wrapText="1"/>
    </xf>
    <xf numFmtId="0" fontId="5" fillId="0" borderId="27" xfId="0" applyFont="1" applyBorder="1" applyAlignment="1">
      <alignment horizontal="left" wrapText="1"/>
    </xf>
    <xf numFmtId="0" fontId="5" fillId="0" borderId="39" xfId="0" applyFont="1" applyBorder="1" applyAlignment="1">
      <alignment horizontal="left" wrapText="1"/>
    </xf>
    <xf numFmtId="0" fontId="5" fillId="0" borderId="40" xfId="0" applyFont="1" applyBorder="1" applyAlignment="1">
      <alignment horizontal="left" wrapText="1"/>
    </xf>
    <xf numFmtId="0" fontId="5" fillId="0" borderId="41" xfId="0" applyFont="1" applyBorder="1" applyAlignment="1">
      <alignment horizontal="left" wrapText="1"/>
    </xf>
    <xf numFmtId="0" fontId="14" fillId="0" borderId="0" xfId="0" applyFont="1" applyAlignment="1">
      <alignment horizontal="left" wrapText="1"/>
    </xf>
    <xf numFmtId="0" fontId="0" fillId="0" borderId="37" xfId="0" applyBorder="1" applyAlignment="1" applyProtection="1">
      <alignment horizontal="center"/>
      <protection locked="0"/>
    </xf>
    <xf numFmtId="0" fontId="0" fillId="0" borderId="31"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15" xfId="0" applyBorder="1" applyAlignment="1" applyProtection="1">
      <alignment horizontal="center"/>
      <protection locked="0"/>
    </xf>
    <xf numFmtId="0" fontId="0" fillId="0" borderId="16" xfId="0" applyBorder="1" applyAlignment="1" applyProtection="1">
      <alignment horizontal="center"/>
      <protection locked="0"/>
    </xf>
    <xf numFmtId="0" fontId="0" fillId="0" borderId="17" xfId="0" applyBorder="1" applyAlignment="1" applyProtection="1">
      <alignment horizontal="center"/>
      <protection locked="0"/>
    </xf>
    <xf numFmtId="0" fontId="14" fillId="0" borderId="0" xfId="0" applyFont="1" applyAlignment="1">
      <alignment horizontal="left" vertical="top" wrapText="1"/>
    </xf>
    <xf numFmtId="0" fontId="0" fillId="0" borderId="0" xfId="0" applyAlignment="1">
      <alignment horizontal="left" wrapText="1"/>
    </xf>
    <xf numFmtId="0" fontId="0" fillId="0" borderId="0" xfId="0" applyAlignment="1">
      <alignment horizontal="left" vertical="top" wrapText="1"/>
    </xf>
    <xf numFmtId="0" fontId="2" fillId="3" borderId="42" xfId="0" applyFont="1" applyFill="1" applyBorder="1" applyAlignment="1">
      <alignment horizontal="center" wrapText="1"/>
    </xf>
    <xf numFmtId="0" fontId="2" fillId="3" borderId="15" xfId="0" applyFont="1" applyFill="1" applyBorder="1" applyAlignment="1">
      <alignment horizontal="center" wrapText="1"/>
    </xf>
    <xf numFmtId="0" fontId="2" fillId="3" borderId="8" xfId="0" applyFont="1" applyFill="1" applyBorder="1" applyAlignment="1">
      <alignment horizontal="center" wrapText="1"/>
    </xf>
    <xf numFmtId="49" fontId="0" fillId="2" borderId="19" xfId="1" applyNumberFormat="1" applyFont="1" applyFill="1" applyBorder="1" applyAlignment="1" applyProtection="1">
      <alignment horizontal="center"/>
      <protection locked="0"/>
    </xf>
    <xf numFmtId="49" fontId="0" fillId="2" borderId="22" xfId="1" applyNumberFormat="1" applyFont="1"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22" xfId="0" applyFill="1" applyBorder="1" applyAlignment="1" applyProtection="1">
      <alignment horizontal="center"/>
      <protection locked="0"/>
    </xf>
    <xf numFmtId="37" fontId="0" fillId="2" borderId="19" xfId="1" applyNumberFormat="1" applyFont="1" applyFill="1" applyBorder="1" applyAlignment="1" applyProtection="1">
      <alignment horizontal="center"/>
      <protection locked="0"/>
    </xf>
    <xf numFmtId="37" fontId="0" fillId="2" borderId="22" xfId="1" applyNumberFormat="1" applyFont="1" applyFill="1" applyBorder="1" applyAlignment="1" applyProtection="1">
      <alignment horizontal="center"/>
      <protection locked="0"/>
    </xf>
    <xf numFmtId="0" fontId="5" fillId="0" borderId="4" xfId="0" applyFont="1" applyBorder="1" applyAlignment="1">
      <alignment horizontal="left" vertical="center" wrapText="1"/>
    </xf>
    <xf numFmtId="0" fontId="5" fillId="0" borderId="0" xfId="0" applyFont="1" applyAlignment="1">
      <alignment horizontal="left" vertical="center" wrapText="1"/>
    </xf>
    <xf numFmtId="0" fontId="5" fillId="0" borderId="5" xfId="0" applyFont="1" applyBorder="1" applyAlignment="1">
      <alignment horizontal="left" vertical="center" wrapText="1"/>
    </xf>
    <xf numFmtId="0" fontId="2" fillId="3" borderId="1" xfId="0" applyFont="1" applyFill="1" applyBorder="1" applyAlignment="1">
      <alignment horizontal="center"/>
    </xf>
    <xf numFmtId="0" fontId="2" fillId="3" borderId="3" xfId="0" applyFont="1" applyFill="1" applyBorder="1" applyAlignment="1">
      <alignment horizontal="center"/>
    </xf>
    <xf numFmtId="0" fontId="2" fillId="3" borderId="47" xfId="0" applyFont="1" applyFill="1" applyBorder="1" applyAlignment="1">
      <alignment horizontal="center"/>
    </xf>
    <xf numFmtId="0" fontId="2" fillId="3" borderId="48" xfId="0" applyFont="1" applyFill="1" applyBorder="1" applyAlignment="1">
      <alignment horizontal="center"/>
    </xf>
    <xf numFmtId="0" fontId="2" fillId="0" borderId="37" xfId="0" applyFont="1" applyBorder="1" applyAlignment="1">
      <alignment horizontal="center"/>
    </xf>
    <xf numFmtId="0" fontId="2" fillId="0" borderId="31" xfId="0" applyFont="1" applyBorder="1" applyAlignment="1">
      <alignment horizontal="center"/>
    </xf>
    <xf numFmtId="9" fontId="0" fillId="2" borderId="37" xfId="2" applyFont="1" applyFill="1" applyBorder="1" applyAlignment="1" applyProtection="1">
      <alignment horizontal="center"/>
      <protection locked="0"/>
    </xf>
    <xf numFmtId="9" fontId="0" fillId="2" borderId="38" xfId="2" applyFont="1" applyFill="1" applyBorder="1" applyAlignment="1" applyProtection="1">
      <alignment horizontal="center"/>
      <protection locked="0"/>
    </xf>
    <xf numFmtId="0" fontId="0" fillId="0" borderId="4" xfId="0" applyBorder="1" applyAlignment="1">
      <alignment horizontal="left" vertical="center" wrapText="1"/>
    </xf>
    <xf numFmtId="0" fontId="0" fillId="0" borderId="0" xfId="0" applyAlignment="1">
      <alignment horizontal="left" vertical="center" wrapText="1"/>
    </xf>
    <xf numFmtId="0" fontId="0" fillId="0" borderId="5" xfId="0" applyBorder="1" applyAlignment="1">
      <alignment horizontal="left" vertical="center" wrapText="1"/>
    </xf>
    <xf numFmtId="0" fontId="2" fillId="9" borderId="39" xfId="0" applyFont="1" applyFill="1" applyBorder="1" applyAlignment="1">
      <alignment horizontal="center" vertical="center"/>
    </xf>
    <xf numFmtId="0" fontId="2" fillId="9" borderId="41" xfId="0" applyFont="1" applyFill="1" applyBorder="1" applyAlignment="1">
      <alignment horizontal="center" vertical="center"/>
    </xf>
    <xf numFmtId="0" fontId="2" fillId="10" borderId="39" xfId="0" applyFont="1" applyFill="1" applyBorder="1" applyAlignment="1">
      <alignment horizontal="center" vertical="center"/>
    </xf>
    <xf numFmtId="0" fontId="2" fillId="10" borderId="41" xfId="0" applyFont="1" applyFill="1" applyBorder="1" applyAlignment="1">
      <alignment horizontal="center" vertical="center"/>
    </xf>
    <xf numFmtId="44" fontId="0" fillId="2" borderId="19" xfId="1" applyFont="1" applyFill="1" applyBorder="1" applyAlignment="1" applyProtection="1">
      <alignment horizontal="center"/>
      <protection locked="0"/>
    </xf>
    <xf numFmtId="44" fontId="0" fillId="2" borderId="38" xfId="1" applyFont="1" applyFill="1" applyBorder="1" applyAlignment="1" applyProtection="1">
      <alignment horizontal="center"/>
      <protection locked="0"/>
    </xf>
    <xf numFmtId="0" fontId="0" fillId="0" borderId="42" xfId="0" applyBorder="1" applyAlignment="1">
      <alignment horizontal="left" vertical="top" wrapText="1"/>
    </xf>
    <xf numFmtId="0" fontId="0" fillId="0" borderId="24" xfId="0" applyBorder="1" applyAlignment="1">
      <alignment horizontal="left" vertical="top" wrapText="1"/>
    </xf>
    <xf numFmtId="0" fontId="0" fillId="0" borderId="43" xfId="0" applyBorder="1" applyAlignment="1">
      <alignment horizontal="left" vertical="top" wrapText="1"/>
    </xf>
    <xf numFmtId="0" fontId="0" fillId="0" borderId="4" xfId="0" applyBorder="1" applyAlignment="1">
      <alignment horizontal="left" vertical="top" wrapText="1"/>
    </xf>
    <xf numFmtId="0" fontId="0" fillId="0" borderId="5"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0" fillId="0" borderId="27" xfId="0" applyBorder="1" applyAlignment="1">
      <alignment horizontal="left" vertical="top" wrapText="1"/>
    </xf>
    <xf numFmtId="0" fontId="5" fillId="0" borderId="4" xfId="0" applyFont="1" applyBorder="1" applyAlignment="1">
      <alignment horizontal="left" vertical="top" wrapText="1"/>
    </xf>
    <xf numFmtId="0" fontId="5" fillId="0" borderId="0" xfId="0" applyFont="1" applyAlignment="1">
      <alignment horizontal="left" vertical="top" wrapText="1"/>
    </xf>
    <xf numFmtId="0" fontId="5" fillId="0" borderId="5" xfId="0" applyFont="1" applyBorder="1" applyAlignment="1">
      <alignment horizontal="left" vertical="top" wrapText="1"/>
    </xf>
    <xf numFmtId="0" fontId="2" fillId="3" borderId="19" xfId="0" applyFont="1" applyFill="1" applyBorder="1" applyAlignment="1">
      <alignment horizontal="center" wrapText="1"/>
    </xf>
    <xf numFmtId="0" fontId="2" fillId="3" borderId="38" xfId="0" applyFont="1" applyFill="1" applyBorder="1" applyAlignment="1">
      <alignment horizontal="center" wrapText="1"/>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5" fillId="0" borderId="16" xfId="0" applyFont="1" applyBorder="1" applyAlignment="1">
      <alignment horizontal="left" vertical="center" wrapText="1"/>
    </xf>
    <xf numFmtId="0" fontId="2" fillId="0" borderId="39" xfId="0" applyFont="1" applyBorder="1" applyAlignment="1">
      <alignment horizontal="center"/>
    </xf>
    <xf numFmtId="0" fontId="2" fillId="0" borderId="40" xfId="0" applyFont="1" applyBorder="1" applyAlignment="1">
      <alignment horizontal="center"/>
    </xf>
    <xf numFmtId="0" fontId="2" fillId="0" borderId="41" xfId="0" applyFont="1" applyBorder="1" applyAlignment="1">
      <alignment horizontal="center"/>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3" fillId="5" borderId="19" xfId="0" applyFont="1" applyFill="1" applyBorder="1" applyAlignment="1">
      <alignment horizontal="center"/>
    </xf>
    <xf numFmtId="0" fontId="3" fillId="5" borderId="22" xfId="0" applyFont="1" applyFill="1" applyBorder="1" applyAlignment="1">
      <alignment horizontal="center"/>
    </xf>
    <xf numFmtId="0" fontId="3" fillId="6" borderId="19" xfId="0" applyFont="1" applyFill="1" applyBorder="1" applyAlignment="1">
      <alignment horizontal="center"/>
    </xf>
    <xf numFmtId="0" fontId="3" fillId="6" borderId="31" xfId="0" applyFont="1" applyFill="1" applyBorder="1" applyAlignment="1">
      <alignment horizontal="center"/>
    </xf>
    <xf numFmtId="0" fontId="3" fillId="6" borderId="22" xfId="0" applyFont="1" applyFill="1" applyBorder="1" applyAlignment="1">
      <alignment horizontal="center"/>
    </xf>
    <xf numFmtId="0" fontId="3" fillId="5" borderId="31" xfId="0" applyFont="1" applyFill="1" applyBorder="1" applyAlignment="1">
      <alignment horizontal="center"/>
    </xf>
    <xf numFmtId="0" fontId="0" fillId="4" borderId="0" xfId="0" applyFill="1" applyAlignment="1">
      <alignment horizontal="center"/>
    </xf>
    <xf numFmtId="0" fontId="2" fillId="4" borderId="0" xfId="0" applyFont="1" applyFill="1" applyAlignment="1">
      <alignment horizontal="center" wrapText="1"/>
    </xf>
    <xf numFmtId="2" fontId="0" fillId="0" borderId="8" xfId="0" applyNumberFormat="1" applyBorder="1" applyAlignment="1" applyProtection="1">
      <alignment horizontal="center"/>
    </xf>
    <xf numFmtId="2" fontId="0" fillId="0" borderId="11" xfId="0" applyNumberFormat="1" applyBorder="1" applyAlignment="1" applyProtection="1">
      <alignment horizontal="center"/>
    </xf>
  </cellXfs>
  <cellStyles count="4">
    <cellStyle name="Currency" xfId="1" builtinId="4"/>
    <cellStyle name="Hyperlink" xfId="3" builtinId="8"/>
    <cellStyle name="Normal" xfId="0" builtinId="0"/>
    <cellStyle name="Percent" xfId="2" builtinId="5"/>
  </cellStyles>
  <dxfs count="0"/>
  <tableStyles count="0" defaultTableStyle="TableStyleMedium9" defaultPivotStyle="PivotStyleLight16"/>
  <colors>
    <mruColors>
      <color rgb="FFFFFF66"/>
      <color rgb="FFFFCC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Cumulative EBITDA</a:t>
            </a:r>
          </a:p>
        </c:rich>
      </c:tx>
      <c:overlay val="0"/>
    </c:title>
    <c:autoTitleDeleted val="0"/>
    <c:plotArea>
      <c:layout>
        <c:manualLayout>
          <c:layoutTarget val="inner"/>
          <c:xMode val="edge"/>
          <c:yMode val="edge"/>
          <c:x val="0.1551053996772021"/>
          <c:y val="0.20181083479672954"/>
          <c:w val="0.79688312678933426"/>
          <c:h val="0.74493967031099528"/>
        </c:manualLayout>
      </c:layout>
      <c:lineChart>
        <c:grouping val="standard"/>
        <c:varyColors val="0"/>
        <c:ser>
          <c:idx val="0"/>
          <c:order val="0"/>
          <c:tx>
            <c:strRef>
              <c:f>graph!$B$1</c:f>
              <c:strCache>
                <c:ptCount val="1"/>
                <c:pt idx="0">
                  <c:v>Hazelnut Rows EBITDA</c:v>
                </c:pt>
              </c:strCache>
            </c:strRef>
          </c:tx>
          <c:marker>
            <c:symbol val="none"/>
          </c:marker>
          <c:val>
            <c:numRef>
              <c:f>graph!$B$3:$B$18</c:f>
              <c:numCache>
                <c:formatCode>_("$"* #,##0_);_("$"* \(#,##0\);_("$"* "-"??_);_(@_)</c:formatCode>
                <c:ptCount val="16"/>
                <c:pt idx="0">
                  <c:v>-1906.1983471074379</c:v>
                </c:pt>
                <c:pt idx="1">
                  <c:v>-30389.127420339279</c:v>
                </c:pt>
                <c:pt idx="2">
                  <c:v>-31641.484858355809</c:v>
                </c:pt>
                <c:pt idx="3">
                  <c:v>-32442.35843716934</c:v>
                </c:pt>
                <c:pt idx="4">
                  <c:v>-31890.194019189992</c:v>
                </c:pt>
                <c:pt idx="5">
                  <c:v>-28922.318491973259</c:v>
                </c:pt>
                <c:pt idx="6">
                  <c:v>-23140.101395300047</c:v>
                </c:pt>
                <c:pt idx="7">
                  <c:v>-13726.647649360853</c:v>
                </c:pt>
                <c:pt idx="8">
                  <c:v>-2460.2855101848108</c:v>
                </c:pt>
                <c:pt idx="9">
                  <c:v>9873.7423492179023</c:v>
                </c:pt>
                <c:pt idx="10">
                  <c:v>22202.831809576724</c:v>
                </c:pt>
                <c:pt idx="11">
                  <c:v>36882.892992242691</c:v>
                </c:pt>
                <c:pt idx="12">
                  <c:v>49201.807375211472</c:v>
                </c:pt>
                <c:pt idx="13">
                  <c:v>63871.4899789396</c:v>
                </c:pt>
                <c:pt idx="14">
                  <c:v>76179.818211391786</c:v>
                </c:pt>
                <c:pt idx="15">
                  <c:v>90838.702941592986</c:v>
                </c:pt>
              </c:numCache>
            </c:numRef>
          </c:val>
          <c:smooth val="0"/>
          <c:extLst>
            <c:ext xmlns:c16="http://schemas.microsoft.com/office/drawing/2014/chart" uri="{C3380CC4-5D6E-409C-BE32-E72D297353CC}">
              <c16:uniqueId val="{00000000-C934-498F-8041-C5470A3D80C8}"/>
            </c:ext>
          </c:extLst>
        </c:ser>
        <c:ser>
          <c:idx val="1"/>
          <c:order val="1"/>
          <c:tx>
            <c:strRef>
              <c:f>graph!$C$1</c:f>
              <c:strCache>
                <c:ptCount val="1"/>
                <c:pt idx="0">
                  <c:v>Whole Field EBITDA</c:v>
                </c:pt>
              </c:strCache>
            </c:strRef>
          </c:tx>
          <c:marker>
            <c:symbol val="none"/>
          </c:marker>
          <c:val>
            <c:numRef>
              <c:f>graph!$C$3:$C$18</c:f>
              <c:numCache>
                <c:formatCode>_("$"* #,##0_);_("$"* \(#,##0\);_("$"* "-"??_);_(@_)</c:formatCode>
                <c:ptCount val="16"/>
                <c:pt idx="0">
                  <c:v>-1906.1983471074379</c:v>
                </c:pt>
                <c:pt idx="1">
                  <c:v>-29823.442709595478</c:v>
                </c:pt>
                <c:pt idx="2">
                  <c:v>-30510.115436868204</c:v>
                </c:pt>
                <c:pt idx="3">
                  <c:v>-30745.304304937934</c:v>
                </c:pt>
                <c:pt idx="4">
                  <c:v>-29627.455176214782</c:v>
                </c:pt>
                <c:pt idx="5">
                  <c:v>-26162.765461670224</c:v>
                </c:pt>
                <c:pt idx="6">
                  <c:v>-19918.169439377176</c:v>
                </c:pt>
                <c:pt idx="7">
                  <c:v>-10076.772029526135</c:v>
                </c:pt>
                <c:pt idx="8">
                  <c:v>1548.6632501457752</c:v>
                </c:pt>
                <c:pt idx="9">
                  <c:v>13561.353609548489</c:v>
                </c:pt>
                <c:pt idx="10">
                  <c:v>25569.105569907311</c:v>
                </c:pt>
                <c:pt idx="11">
                  <c:v>40195.016752573276</c:v>
                </c:pt>
                <c:pt idx="12">
                  <c:v>52459.781135542056</c:v>
                </c:pt>
                <c:pt idx="13">
                  <c:v>67075.313739270176</c:v>
                </c:pt>
                <c:pt idx="14">
                  <c:v>79329.491971722367</c:v>
                </c:pt>
                <c:pt idx="15">
                  <c:v>93934.226701923559</c:v>
                </c:pt>
              </c:numCache>
            </c:numRef>
          </c:val>
          <c:smooth val="0"/>
          <c:extLst>
            <c:ext xmlns:c16="http://schemas.microsoft.com/office/drawing/2014/chart" uri="{C3380CC4-5D6E-409C-BE32-E72D297353CC}">
              <c16:uniqueId val="{00000000-0684-4764-99EE-075D12E4DF44}"/>
            </c:ext>
          </c:extLst>
        </c:ser>
        <c:dLbls>
          <c:showLegendKey val="0"/>
          <c:showVal val="0"/>
          <c:showCatName val="0"/>
          <c:showSerName val="0"/>
          <c:showPercent val="0"/>
          <c:showBubbleSize val="0"/>
        </c:dLbls>
        <c:smooth val="0"/>
        <c:axId val="148572416"/>
        <c:axId val="169084032"/>
      </c:lineChart>
      <c:catAx>
        <c:axId val="148572416"/>
        <c:scaling>
          <c:orientation val="minMax"/>
        </c:scaling>
        <c:delete val="0"/>
        <c:axPos val="b"/>
        <c:majorTickMark val="out"/>
        <c:minorTickMark val="none"/>
        <c:tickLblPos val="nextTo"/>
        <c:crossAx val="169084032"/>
        <c:crosses val="autoZero"/>
        <c:auto val="1"/>
        <c:lblAlgn val="ctr"/>
        <c:lblOffset val="100"/>
        <c:noMultiLvlLbl val="0"/>
      </c:catAx>
      <c:valAx>
        <c:axId val="169084032"/>
        <c:scaling>
          <c:orientation val="minMax"/>
        </c:scaling>
        <c:delete val="0"/>
        <c:axPos val="l"/>
        <c:majorGridlines/>
        <c:numFmt formatCode="_(&quot;$&quot;* #,##0_);_(&quot;$&quot;* \(#,##0\);_(&quot;$&quot;* &quot;-&quot;??_);_(@_)" sourceLinked="1"/>
        <c:majorTickMark val="out"/>
        <c:minorTickMark val="none"/>
        <c:tickLblPos val="nextTo"/>
        <c:crossAx val="148572416"/>
        <c:crosses val="autoZero"/>
        <c:crossBetween val="between"/>
      </c:valAx>
    </c:plotArea>
    <c:legend>
      <c:legendPos val="r"/>
      <c:layout>
        <c:manualLayout>
          <c:xMode val="edge"/>
          <c:yMode val="edge"/>
          <c:x val="0.17753759095193533"/>
          <c:y val="0.2141705847920089"/>
          <c:w val="0.32479118931875056"/>
          <c:h val="0.17345720274174362"/>
        </c:manualLayout>
      </c:layout>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11" Type="http://schemas.microsoft.com/office/2007/relationships/hdphoto" Target="../media/hdphoto1.wdp"/><Relationship Id="rId5" Type="http://schemas.openxmlformats.org/officeDocument/2006/relationships/image" Target="../media/image5.jp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9</xdr:col>
      <xdr:colOff>31749</xdr:colOff>
      <xdr:row>9</xdr:row>
      <xdr:rowOff>56355</xdr:rowOff>
    </xdr:from>
    <xdr:to>
      <xdr:col>11</xdr:col>
      <xdr:colOff>571500</xdr:colOff>
      <xdr:row>16</xdr:row>
      <xdr:rowOff>47625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99074" y="1780380"/>
          <a:ext cx="1758951" cy="1258095"/>
        </a:xfrm>
        <a:prstGeom prst="rect">
          <a:avLst/>
        </a:prstGeom>
        <a:ln>
          <a:solidFill>
            <a:schemeClr val="tx1"/>
          </a:solidFill>
        </a:ln>
      </xdr:spPr>
    </xdr:pic>
    <xdr:clientData/>
  </xdr:twoCellAnchor>
  <xdr:twoCellAnchor editAs="oneCell">
    <xdr:from>
      <xdr:col>1</xdr:col>
      <xdr:colOff>19050</xdr:colOff>
      <xdr:row>22</xdr:row>
      <xdr:rowOff>38101</xdr:rowOff>
    </xdr:from>
    <xdr:to>
      <xdr:col>3</xdr:col>
      <xdr:colOff>596900</xdr:colOff>
      <xdr:row>29</xdr:row>
      <xdr:rowOff>57070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47975" y="4286251"/>
          <a:ext cx="1797050" cy="1285794"/>
        </a:xfrm>
        <a:prstGeom prst="rect">
          <a:avLst/>
        </a:prstGeom>
      </xdr:spPr>
    </xdr:pic>
    <xdr:clientData/>
  </xdr:twoCellAnchor>
  <xdr:twoCellAnchor editAs="oneCell">
    <xdr:from>
      <xdr:col>13</xdr:col>
      <xdr:colOff>28576</xdr:colOff>
      <xdr:row>9</xdr:row>
      <xdr:rowOff>9525</xdr:rowOff>
    </xdr:from>
    <xdr:to>
      <xdr:col>15</xdr:col>
      <xdr:colOff>590550</xdr:colOff>
      <xdr:row>16</xdr:row>
      <xdr:rowOff>19050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l="6511" t="-1" r="33357" b="3653"/>
        <a:stretch/>
      </xdr:blipFill>
      <xdr:spPr>
        <a:xfrm>
          <a:off x="638176" y="4333875"/>
          <a:ext cx="1781174" cy="1343025"/>
        </a:xfrm>
        <a:prstGeom prst="rect">
          <a:avLst/>
        </a:prstGeom>
        <a:ln>
          <a:solidFill>
            <a:schemeClr val="tx1"/>
          </a:solidFill>
        </a:ln>
      </xdr:spPr>
    </xdr:pic>
    <xdr:clientData/>
  </xdr:twoCellAnchor>
  <xdr:twoCellAnchor editAs="oneCell">
    <xdr:from>
      <xdr:col>16</xdr:col>
      <xdr:colOff>606905</xdr:colOff>
      <xdr:row>1</xdr:row>
      <xdr:rowOff>19049</xdr:rowOff>
    </xdr:from>
    <xdr:to>
      <xdr:col>19</xdr:col>
      <xdr:colOff>601598</xdr:colOff>
      <xdr:row>5</xdr:row>
      <xdr:rowOff>57911</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922105" y="257174"/>
          <a:ext cx="1823493" cy="753237"/>
        </a:xfrm>
        <a:prstGeom prst="rect">
          <a:avLst/>
        </a:prstGeom>
      </xdr:spPr>
    </xdr:pic>
    <xdr:clientData/>
  </xdr:twoCellAnchor>
  <mc:AlternateContent xmlns:mc="http://schemas.openxmlformats.org/markup-compatibility/2006">
    <mc:Choice xmlns:a14="http://schemas.microsoft.com/office/drawing/2010/main" Requires="a14">
      <xdr:twoCellAnchor>
        <xdr:from>
          <xdr:col>1</xdr:col>
          <xdr:colOff>19050</xdr:colOff>
          <xdr:row>17</xdr:row>
          <xdr:rowOff>0</xdr:rowOff>
        </xdr:from>
        <xdr:to>
          <xdr:col>2</xdr:col>
          <xdr:colOff>222250</xdr:colOff>
          <xdr:row>18</xdr:row>
          <xdr:rowOff>127000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Steps 1-6</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355600</xdr:colOff>
          <xdr:row>17</xdr:row>
          <xdr:rowOff>12700</xdr:rowOff>
        </xdr:from>
        <xdr:to>
          <xdr:col>3</xdr:col>
          <xdr:colOff>584200</xdr:colOff>
          <xdr:row>18</xdr:row>
          <xdr:rowOff>127000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000-000002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Steps 7-8</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431800</xdr:colOff>
          <xdr:row>29</xdr:row>
          <xdr:rowOff>146050</xdr:rowOff>
        </xdr:from>
        <xdr:to>
          <xdr:col>15</xdr:col>
          <xdr:colOff>146050</xdr:colOff>
          <xdr:row>31</xdr:row>
          <xdr:rowOff>88900</xdr:rowOff>
        </xdr:to>
        <xdr:sp macro="" textlink="">
          <xdr:nvSpPr>
            <xdr:cNvPr id="2052" name="Button 4" hidden="1">
              <a:extLst>
                <a:ext uri="{63B3BB69-23CF-44E3-9099-C40C66FF867C}">
                  <a14:compatExt spid="_x0000_s2052"/>
                </a:ext>
                <a:ext uri="{FF2B5EF4-FFF2-40B4-BE49-F238E27FC236}">
                  <a16:creationId xmlns:a16="http://schemas.microsoft.com/office/drawing/2014/main" id="{00000000-0008-0000-0000-000004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Harvester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469900</xdr:colOff>
          <xdr:row>16</xdr:row>
          <xdr:rowOff>165100</xdr:rowOff>
        </xdr:from>
        <xdr:to>
          <xdr:col>7</xdr:col>
          <xdr:colOff>88900</xdr:colOff>
          <xdr:row>18</xdr:row>
          <xdr:rowOff>69850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 9</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488950</xdr:colOff>
          <xdr:row>16</xdr:row>
          <xdr:rowOff>184150</xdr:rowOff>
        </xdr:from>
        <xdr:to>
          <xdr:col>11</xdr:col>
          <xdr:colOff>152400</xdr:colOff>
          <xdr:row>18</xdr:row>
          <xdr:rowOff>88900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 10</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13</xdr:col>
          <xdr:colOff>419100</xdr:colOff>
          <xdr:row>16</xdr:row>
          <xdr:rowOff>133350</xdr:rowOff>
        </xdr:from>
        <xdr:to>
          <xdr:col>15</xdr:col>
          <xdr:colOff>107950</xdr:colOff>
          <xdr:row>18</xdr:row>
          <xdr:rowOff>107950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 11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xdr:row>
          <xdr:rowOff>133350</xdr:rowOff>
        </xdr:from>
        <xdr:to>
          <xdr:col>3</xdr:col>
          <xdr:colOff>95250</xdr:colOff>
          <xdr:row>31</xdr:row>
          <xdr:rowOff>95250</xdr:rowOff>
        </xdr:to>
        <xdr:sp macro="" textlink="">
          <xdr:nvSpPr>
            <xdr:cNvPr id="2056" name="Button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Steps 12</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16</xdr:col>
          <xdr:colOff>603250</xdr:colOff>
          <xdr:row>18</xdr:row>
          <xdr:rowOff>12700</xdr:rowOff>
        </xdr:from>
        <xdr:to>
          <xdr:col>19</xdr:col>
          <xdr:colOff>190500</xdr:colOff>
          <xdr:row>20</xdr:row>
          <xdr:rowOff>57150</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View </a:t>
              </a:r>
            </a:p>
            <a:p>
              <a:pPr algn="ctr" rtl="0">
                <a:defRPr sz="1000"/>
              </a:pPr>
              <a:r>
                <a:rPr lang="en-US" sz="1200" b="1" i="0" u="none" strike="noStrike" baseline="0">
                  <a:solidFill>
                    <a:srgbClr val="000000"/>
                  </a:solidFill>
                  <a:latin typeface="Calibri"/>
                  <a:cs typeface="Calibri"/>
                </a:rPr>
                <a:t>Enterprise Budget</a:t>
              </a:r>
            </a:p>
          </xdr:txBody>
        </xdr:sp>
        <xdr:clientData fPrintsWithSheet="0"/>
      </xdr:twoCellAnchor>
    </mc:Choice>
    <mc:Fallback/>
  </mc:AlternateContent>
  <xdr:twoCellAnchor editAs="oneCell">
    <xdr:from>
      <xdr:col>1</xdr:col>
      <xdr:colOff>38100</xdr:colOff>
      <xdr:row>9</xdr:row>
      <xdr:rowOff>17066</xdr:rowOff>
    </xdr:from>
    <xdr:to>
      <xdr:col>3</xdr:col>
      <xdr:colOff>561975</xdr:colOff>
      <xdr:row>15</xdr:row>
      <xdr:rowOff>171449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r="28078"/>
        <a:stretch/>
      </xdr:blipFill>
      <xdr:spPr>
        <a:xfrm>
          <a:off x="647700" y="1750616"/>
          <a:ext cx="1743075" cy="1297383"/>
        </a:xfrm>
        <a:prstGeom prst="rect">
          <a:avLst/>
        </a:prstGeom>
        <a:ln>
          <a:solidFill>
            <a:schemeClr val="tx1"/>
          </a:solidFill>
        </a:ln>
      </xdr:spPr>
    </xdr:pic>
    <xdr:clientData/>
  </xdr:twoCellAnchor>
  <xdr:twoCellAnchor editAs="oneCell">
    <xdr:from>
      <xdr:col>5</xdr:col>
      <xdr:colOff>201048</xdr:colOff>
      <xdr:row>9</xdr:row>
      <xdr:rowOff>19049</xdr:rowOff>
    </xdr:from>
    <xdr:to>
      <xdr:col>7</xdr:col>
      <xdr:colOff>409370</xdr:colOff>
      <xdr:row>16</xdr:row>
      <xdr:rowOff>19050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29973" y="1743074"/>
          <a:ext cx="1427522" cy="1266826"/>
        </a:xfrm>
        <a:prstGeom prst="rect">
          <a:avLst/>
        </a:prstGeom>
        <a:ln>
          <a:solidFill>
            <a:schemeClr val="tx1"/>
          </a:solidFill>
        </a:ln>
      </xdr:spPr>
    </xdr:pic>
    <xdr:clientData/>
  </xdr:twoCellAnchor>
  <mc:AlternateContent xmlns:mc="http://schemas.openxmlformats.org/markup-compatibility/2006">
    <mc:Choice xmlns:a14="http://schemas.microsoft.com/office/drawing/2010/main" Requires="a14">
      <xdr:twoCellAnchor>
        <xdr:from>
          <xdr:col>16</xdr:col>
          <xdr:colOff>603250</xdr:colOff>
          <xdr:row>21</xdr:row>
          <xdr:rowOff>19050</xdr:rowOff>
        </xdr:from>
        <xdr:to>
          <xdr:col>19</xdr:col>
          <xdr:colOff>190500</xdr:colOff>
          <xdr:row>23</xdr:row>
          <xdr:rowOff>50800</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cs typeface="Calibri"/>
                </a:rPr>
                <a:t>View Cumulative Net Income Graph</a:t>
              </a:r>
            </a:p>
          </xdr:txBody>
        </xdr:sp>
        <xdr:clientData fPrintsWithSheet="0"/>
      </xdr:twoCellAnchor>
    </mc:Choice>
    <mc:Fallback/>
  </mc:AlternateContent>
  <xdr:twoCellAnchor editAs="oneCell">
    <xdr:from>
      <xdr:col>17</xdr:col>
      <xdr:colOff>12700</xdr:colOff>
      <xdr:row>6</xdr:row>
      <xdr:rowOff>76200</xdr:rowOff>
    </xdr:from>
    <xdr:to>
      <xdr:col>19</xdr:col>
      <xdr:colOff>596900</xdr:colOff>
      <xdr:row>8</xdr:row>
      <xdr:rowOff>225405</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715250" y="1200150"/>
          <a:ext cx="1803400" cy="498455"/>
        </a:xfrm>
        <a:prstGeom prst="rect">
          <a:avLst/>
        </a:prstGeom>
      </xdr:spPr>
    </xdr:pic>
    <xdr:clientData/>
  </xdr:twoCellAnchor>
  <xdr:twoCellAnchor editAs="oneCell">
    <xdr:from>
      <xdr:col>13</xdr:col>
      <xdr:colOff>122724</xdr:colOff>
      <xdr:row>21</xdr:row>
      <xdr:rowOff>228602</xdr:rowOff>
    </xdr:from>
    <xdr:to>
      <xdr:col>15</xdr:col>
      <xdr:colOff>466724</xdr:colOff>
      <xdr:row>29</xdr:row>
      <xdr:rowOff>44561</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984" r="32296"/>
        <a:stretch/>
      </xdr:blipFill>
      <xdr:spPr>
        <a:xfrm rot="5400000">
          <a:off x="5511194" y="4117482"/>
          <a:ext cx="1320909" cy="1563200"/>
        </a:xfrm>
        <a:prstGeom prst="rect">
          <a:avLst/>
        </a:prstGeom>
      </xdr:spPr>
    </xdr:pic>
    <xdr:clientData/>
  </xdr:twoCellAnchor>
  <mc:AlternateContent xmlns:mc="http://schemas.openxmlformats.org/markup-compatibility/2006">
    <mc:Choice xmlns:a14="http://schemas.microsoft.com/office/drawing/2010/main" Requires="a14">
      <xdr:twoCellAnchor>
        <xdr:from>
          <xdr:col>5</xdr:col>
          <xdr:colOff>400050</xdr:colOff>
          <xdr:row>29</xdr:row>
          <xdr:rowOff>133350</xdr:rowOff>
        </xdr:from>
        <xdr:to>
          <xdr:col>7</xdr:col>
          <xdr:colOff>95250</xdr:colOff>
          <xdr:row>31</xdr:row>
          <xdr:rowOff>95250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Steps 13</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361950</xdr:colOff>
          <xdr:row>29</xdr:row>
          <xdr:rowOff>133350</xdr:rowOff>
        </xdr:from>
        <xdr:to>
          <xdr:col>11</xdr:col>
          <xdr:colOff>190500</xdr:colOff>
          <xdr:row>31</xdr:row>
          <xdr:rowOff>95250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Alley-Cropping</a:t>
              </a:r>
            </a:p>
          </xdr:txBody>
        </xdr:sp>
        <xdr:clientData fPrintsWithSheet="0"/>
      </xdr:twoCellAnchor>
    </mc:Choice>
    <mc:Fallback/>
  </mc:AlternateContent>
  <xdr:twoCellAnchor editAs="oneCell">
    <xdr:from>
      <xdr:col>5</xdr:col>
      <xdr:colOff>72672</xdr:colOff>
      <xdr:row>22</xdr:row>
      <xdr:rowOff>69851</xdr:rowOff>
    </xdr:from>
    <xdr:to>
      <xdr:col>7</xdr:col>
      <xdr:colOff>541846</xdr:colOff>
      <xdr:row>29</xdr:row>
      <xdr:rowOff>19051</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r="23302"/>
        <a:stretch/>
      </xdr:blipFill>
      <xdr:spPr>
        <a:xfrm>
          <a:off x="2574572" y="4337051"/>
          <a:ext cx="1688374" cy="1238250"/>
        </a:xfrm>
        <a:prstGeom prst="rect">
          <a:avLst/>
        </a:prstGeom>
      </xdr:spPr>
    </xdr:pic>
    <xdr:clientData/>
  </xdr:twoCellAnchor>
  <xdr:twoCellAnchor editAs="oneCell">
    <xdr:from>
      <xdr:col>9</xdr:col>
      <xdr:colOff>69850</xdr:colOff>
      <xdr:row>22</xdr:row>
      <xdr:rowOff>49211</xdr:rowOff>
    </xdr:from>
    <xdr:to>
      <xdr:col>11</xdr:col>
      <xdr:colOff>546101</xdr:colOff>
      <xdr:row>29</xdr:row>
      <xdr:rowOff>31750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cstate="print">
          <a:extLst>
            <a:ext uri="{BEBA8EAE-BF5A-486C-A8C5-ECC9F3942E4B}">
              <a14:imgProps xmlns:a14="http://schemas.microsoft.com/office/drawing/2010/main">
                <a14:imgLayer r:embed="rId11">
                  <a14:imgEffect>
                    <a14:brightnessContrast bright="21000"/>
                  </a14:imgEffect>
                </a14:imgLayer>
              </a14:imgProps>
            </a:ext>
            <a:ext uri="{28A0092B-C50C-407E-A947-70E740481C1C}">
              <a14:useLocalDpi xmlns:a14="http://schemas.microsoft.com/office/drawing/2010/main" val="0"/>
            </a:ext>
          </a:extLst>
        </a:blip>
        <a:stretch>
          <a:fillRect/>
        </a:stretch>
      </xdr:blipFill>
      <xdr:spPr>
        <a:xfrm>
          <a:off x="4686300" y="4316411"/>
          <a:ext cx="1695451" cy="1271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1962150</xdr:colOff>
          <xdr:row>34</xdr:row>
          <xdr:rowOff>31750</xdr:rowOff>
        </xdr:from>
        <xdr:to>
          <xdr:col>7</xdr:col>
          <xdr:colOff>298450</xdr:colOff>
          <xdr:row>36</xdr:row>
          <xdr:rowOff>165100</xdr:rowOff>
        </xdr:to>
        <xdr:sp macro="" textlink="">
          <xdr:nvSpPr>
            <xdr:cNvPr id="4103" name="Button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266700</xdr:colOff>
          <xdr:row>32</xdr:row>
          <xdr:rowOff>120650</xdr:rowOff>
        </xdr:from>
        <xdr:to>
          <xdr:col>6</xdr:col>
          <xdr:colOff>438150</xdr:colOff>
          <xdr:row>35</xdr:row>
          <xdr:rowOff>82550</xdr:rowOff>
        </xdr:to>
        <xdr:sp macro="" textlink="">
          <xdr:nvSpPr>
            <xdr:cNvPr id="5125" name="Button 5"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190500</xdr:colOff>
          <xdr:row>24</xdr:row>
          <xdr:rowOff>0</xdr:rowOff>
        </xdr:from>
        <xdr:to>
          <xdr:col>6</xdr:col>
          <xdr:colOff>908050</xdr:colOff>
          <xdr:row>26</xdr:row>
          <xdr:rowOff>133350</xdr:rowOff>
        </xdr:to>
        <xdr:sp macro="" textlink="">
          <xdr:nvSpPr>
            <xdr:cNvPr id="10248" name="Button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12700</xdr:colOff>
          <xdr:row>15</xdr:row>
          <xdr:rowOff>184150</xdr:rowOff>
        </xdr:from>
        <xdr:to>
          <xdr:col>6</xdr:col>
          <xdr:colOff>1460500</xdr:colOff>
          <xdr:row>18</xdr:row>
          <xdr:rowOff>127000</xdr:rowOff>
        </xdr:to>
        <xdr:sp macro="" textlink="">
          <xdr:nvSpPr>
            <xdr:cNvPr id="6151" name="Button 7" hidden="1">
              <a:extLst>
                <a:ext uri="{63B3BB69-23CF-44E3-9099-C40C66FF867C}">
                  <a14:compatExt spid="_x0000_s6151"/>
                </a:ext>
                <a:ext uri="{FF2B5EF4-FFF2-40B4-BE49-F238E27FC236}">
                  <a16:creationId xmlns:a16="http://schemas.microsoft.com/office/drawing/2014/main" id="{00000000-0008-0000-0500-0000071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412750</xdr:colOff>
          <xdr:row>16</xdr:row>
          <xdr:rowOff>12700</xdr:rowOff>
        </xdr:from>
        <xdr:to>
          <xdr:col>14</xdr:col>
          <xdr:colOff>38100</xdr:colOff>
          <xdr:row>18</xdr:row>
          <xdr:rowOff>146050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700-0000015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603250</xdr:colOff>
          <xdr:row>0</xdr:row>
          <xdr:rowOff>38100</xdr:rowOff>
        </xdr:from>
        <xdr:to>
          <xdr:col>9</xdr:col>
          <xdr:colOff>336550</xdr:colOff>
          <xdr:row>1</xdr:row>
          <xdr:rowOff>50800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A00-000001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cs typeface="Calibri"/>
                </a:rPr>
                <a:t>Return to Homepage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228600</xdr:colOff>
          <xdr:row>0</xdr:row>
          <xdr:rowOff>38100</xdr:rowOff>
        </xdr:from>
        <xdr:to>
          <xdr:col>13</xdr:col>
          <xdr:colOff>571500</xdr:colOff>
          <xdr:row>1</xdr:row>
          <xdr:rowOff>50800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A00-0000023C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00"/>
                  </a:solidFill>
                  <a:latin typeface="Calibri"/>
                  <a:cs typeface="Calibri"/>
                </a:rPr>
                <a:t>View Graph</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3</xdr:col>
      <xdr:colOff>447675</xdr:colOff>
      <xdr:row>1</xdr:row>
      <xdr:rowOff>176212</xdr:rowOff>
    </xdr:from>
    <xdr:to>
      <xdr:col>11</xdr:col>
      <xdr:colOff>342901</xdr:colOff>
      <xdr:row>16</xdr:row>
      <xdr:rowOff>61912</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7</xdr:col>
          <xdr:colOff>342900</xdr:colOff>
          <xdr:row>18</xdr:row>
          <xdr:rowOff>19050</xdr:rowOff>
        </xdr:from>
        <xdr:to>
          <xdr:col>9</xdr:col>
          <xdr:colOff>571500</xdr:colOff>
          <xdr:row>21</xdr:row>
          <xdr:rowOff>6350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B00-000001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Return to</a:t>
              </a:r>
            </a:p>
            <a:p>
              <a:pPr algn="ctr" rtl="0">
                <a:defRPr sz="1000"/>
              </a:pPr>
              <a:r>
                <a:rPr lang="en-US" sz="1200" b="1" i="0" u="none" strike="noStrike" baseline="0">
                  <a:solidFill>
                    <a:srgbClr val="000000"/>
                  </a:solidFill>
                  <a:latin typeface="Calibri"/>
                  <a:cs typeface="Calibri"/>
                </a:rPr>
                <a:t>Home Page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412750</xdr:colOff>
          <xdr:row>18</xdr:row>
          <xdr:rowOff>50800</xdr:rowOff>
        </xdr:from>
        <xdr:to>
          <xdr:col>7</xdr:col>
          <xdr:colOff>0</xdr:colOff>
          <xdr:row>21</xdr:row>
          <xdr:rowOff>6350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0B00-0000023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200" b="1" i="0" u="none" strike="noStrike" baseline="0">
                  <a:solidFill>
                    <a:srgbClr val="000000"/>
                  </a:solidFill>
                  <a:latin typeface="Calibri"/>
                  <a:cs typeface="Calibri"/>
                </a:rPr>
                <a:t>View </a:t>
              </a:r>
            </a:p>
            <a:p>
              <a:pPr algn="ctr" rtl="0">
                <a:defRPr sz="1000"/>
              </a:pPr>
              <a:r>
                <a:rPr lang="en-US" sz="1200" b="1" i="0" u="none" strike="noStrike" baseline="0">
                  <a:solidFill>
                    <a:srgbClr val="000000"/>
                  </a:solidFill>
                  <a:latin typeface="Calibri"/>
                  <a:cs typeface="Calibri"/>
                </a:rPr>
                <a:t>Enterprise Budget</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13" Type="http://schemas.openxmlformats.org/officeDocument/2006/relationships/ctrlProp" Target="../ctrlProps/ctrlProp7.xml"/><Relationship Id="rId3" Type="http://schemas.openxmlformats.org/officeDocument/2006/relationships/hyperlink" Target="http://www.extension.iastate.edu/agdm/crops/xls/a3-29machcostcalc.xlsx" TargetMode="External"/><Relationship Id="rId7" Type="http://schemas.openxmlformats.org/officeDocument/2006/relationships/ctrlProp" Target="../ctrlProps/ctrlProp1.xml"/><Relationship Id="rId12" Type="http://schemas.openxmlformats.org/officeDocument/2006/relationships/ctrlProp" Target="../ctrlProps/ctrlProp6.xml"/><Relationship Id="rId17" Type="http://schemas.openxmlformats.org/officeDocument/2006/relationships/ctrlProp" Target="../ctrlProps/ctrlProp11.xml"/><Relationship Id="rId2" Type="http://schemas.openxmlformats.org/officeDocument/2006/relationships/hyperlink" Target="http://www.extension.iastate.edu/agdm/crops/pdf/a3-10.pdf" TargetMode="External"/><Relationship Id="rId16" Type="http://schemas.openxmlformats.org/officeDocument/2006/relationships/ctrlProp" Target="../ctrlProps/ctrlProp10.xml"/><Relationship Id="rId1" Type="http://schemas.openxmlformats.org/officeDocument/2006/relationships/hyperlink" Target="mailto:jason.fischbach@wisc.edu" TargetMode="External"/><Relationship Id="rId6" Type="http://schemas.openxmlformats.org/officeDocument/2006/relationships/vmlDrawing" Target="../drawings/vmlDrawing1.vml"/><Relationship Id="rId11" Type="http://schemas.openxmlformats.org/officeDocument/2006/relationships/ctrlProp" Target="../ctrlProps/ctrlProp5.xml"/><Relationship Id="rId5" Type="http://schemas.openxmlformats.org/officeDocument/2006/relationships/drawing" Target="../drawings/drawing1.xml"/><Relationship Id="rId15" Type="http://schemas.openxmlformats.org/officeDocument/2006/relationships/ctrlProp" Target="../ctrlProps/ctrlProp9.xml"/><Relationship Id="rId10" Type="http://schemas.openxmlformats.org/officeDocument/2006/relationships/ctrlProp" Target="../ctrlProps/ctrlProp4.xml"/><Relationship Id="rId4" Type="http://schemas.openxmlformats.org/officeDocument/2006/relationships/printerSettings" Target="../printerSettings/printerSettings1.bin"/><Relationship Id="rId9" Type="http://schemas.openxmlformats.org/officeDocument/2006/relationships/ctrlProp" Target="../ctrlProps/ctrlProp3.xml"/><Relationship Id="rId14" Type="http://schemas.openxmlformats.org/officeDocument/2006/relationships/ctrlProp" Target="../ctrlProps/ctrlProp8.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trlProp" Target="../ctrlProps/ctrlProp1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1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6.vml"/><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V32"/>
  <sheetViews>
    <sheetView showGridLines="0" tabSelected="1" zoomScale="60" zoomScaleNormal="60" workbookViewId="0">
      <selection activeCell="B4" sqref="B4:P6"/>
    </sheetView>
  </sheetViews>
  <sheetFormatPr defaultRowHeight="14.5" x14ac:dyDescent="0.35"/>
  <cols>
    <col min="1" max="1" width="5.54296875" customWidth="1"/>
    <col min="5" max="5" width="4.08984375" customWidth="1"/>
    <col min="9" max="9" width="4.08984375" customWidth="1"/>
    <col min="13" max="13" width="4.08984375" customWidth="1"/>
    <col min="14" max="14" width="8.7265625" customWidth="1"/>
  </cols>
  <sheetData>
    <row r="1" spans="2:18" ht="18.5" x14ac:dyDescent="0.45">
      <c r="B1" s="318" t="s">
        <v>192</v>
      </c>
      <c r="C1" s="318"/>
      <c r="D1" s="318"/>
      <c r="E1" s="318"/>
      <c r="F1" s="318"/>
      <c r="G1" s="318"/>
      <c r="H1" s="318"/>
      <c r="I1" s="318"/>
      <c r="J1" s="318"/>
      <c r="K1" s="318"/>
      <c r="L1" s="318"/>
      <c r="M1" s="199"/>
      <c r="N1" s="199"/>
      <c r="O1" s="199"/>
      <c r="P1" s="199"/>
    </row>
    <row r="2" spans="2:18" ht="15.5" x14ac:dyDescent="0.35">
      <c r="B2" s="322" t="s">
        <v>386</v>
      </c>
      <c r="C2" s="322"/>
      <c r="D2" s="322"/>
      <c r="E2" s="322"/>
      <c r="F2" s="322"/>
      <c r="G2" s="322"/>
      <c r="H2" s="322"/>
      <c r="I2" s="322"/>
      <c r="J2" s="322"/>
      <c r="K2" s="322"/>
      <c r="L2" s="322"/>
      <c r="M2" s="59"/>
      <c r="N2" s="59"/>
      <c r="O2" s="59"/>
      <c r="P2" s="59"/>
    </row>
    <row r="3" spans="2:18" ht="9" customHeight="1" x14ac:dyDescent="0.35">
      <c r="B3" s="59"/>
      <c r="C3" s="59"/>
      <c r="D3" s="59"/>
      <c r="E3" s="59"/>
      <c r="F3" s="59"/>
      <c r="G3" s="59"/>
      <c r="H3" s="59"/>
      <c r="I3" s="59"/>
      <c r="J3" s="59"/>
      <c r="K3" s="59"/>
      <c r="L3" s="59"/>
      <c r="M3" s="59"/>
      <c r="N3" s="59"/>
      <c r="O3" s="59"/>
      <c r="P3" s="59"/>
    </row>
    <row r="4" spans="2:18" ht="15.75" customHeight="1" x14ac:dyDescent="0.35">
      <c r="B4" s="320" t="s">
        <v>385</v>
      </c>
      <c r="C4" s="320"/>
      <c r="D4" s="320"/>
      <c r="E4" s="320"/>
      <c r="F4" s="320"/>
      <c r="G4" s="320"/>
      <c r="H4" s="320"/>
      <c r="I4" s="320"/>
      <c r="J4" s="320"/>
      <c r="K4" s="320"/>
      <c r="L4" s="320"/>
      <c r="M4" s="320"/>
      <c r="N4" s="320"/>
      <c r="O4" s="320"/>
      <c r="P4" s="320"/>
    </row>
    <row r="5" spans="2:18" ht="15.75" customHeight="1" x14ac:dyDescent="0.35">
      <c r="B5" s="320"/>
      <c r="C5" s="320"/>
      <c r="D5" s="320"/>
      <c r="E5" s="320"/>
      <c r="F5" s="320"/>
      <c r="G5" s="320"/>
      <c r="H5" s="320"/>
      <c r="I5" s="320"/>
      <c r="J5" s="320"/>
      <c r="K5" s="320"/>
      <c r="L5" s="320"/>
      <c r="M5" s="320"/>
      <c r="N5" s="320"/>
      <c r="O5" s="320"/>
      <c r="P5" s="320"/>
    </row>
    <row r="6" spans="2:18" ht="15.5" customHeight="1" x14ac:dyDescent="0.35">
      <c r="B6" s="320"/>
      <c r="C6" s="320"/>
      <c r="D6" s="320"/>
      <c r="E6" s="320"/>
      <c r="F6" s="320"/>
      <c r="G6" s="320"/>
      <c r="H6" s="320"/>
      <c r="I6" s="320"/>
      <c r="J6" s="320"/>
      <c r="K6" s="320"/>
      <c r="L6" s="320"/>
      <c r="M6" s="320"/>
      <c r="N6" s="320"/>
      <c r="O6" s="320"/>
      <c r="P6" s="320"/>
    </row>
    <row r="7" spans="2:18" ht="9" customHeight="1" thickBot="1" x14ac:dyDescent="0.4"/>
    <row r="8" spans="2:18" ht="18.5" x14ac:dyDescent="0.45">
      <c r="B8" s="329" t="s">
        <v>147</v>
      </c>
      <c r="C8" s="330"/>
      <c r="D8" s="331"/>
      <c r="F8" s="329" t="s">
        <v>309</v>
      </c>
      <c r="G8" s="330"/>
      <c r="H8" s="331"/>
      <c r="J8" s="329" t="s">
        <v>310</v>
      </c>
      <c r="K8" s="330"/>
      <c r="L8" s="331"/>
      <c r="M8" s="199"/>
      <c r="N8" s="329" t="s">
        <v>311</v>
      </c>
      <c r="O8" s="330"/>
      <c r="P8" s="331"/>
    </row>
    <row r="9" spans="2:18" ht="18.5" x14ac:dyDescent="0.45">
      <c r="B9" s="317" t="s">
        <v>135</v>
      </c>
      <c r="C9" s="318"/>
      <c r="D9" s="319"/>
      <c r="F9" s="317" t="s">
        <v>302</v>
      </c>
      <c r="G9" s="318"/>
      <c r="H9" s="319"/>
      <c r="J9" s="317" t="s">
        <v>303</v>
      </c>
      <c r="K9" s="318"/>
      <c r="L9" s="319"/>
      <c r="M9" s="199"/>
      <c r="N9" s="317" t="s">
        <v>136</v>
      </c>
      <c r="O9" s="318"/>
      <c r="P9" s="319"/>
    </row>
    <row r="10" spans="2:18" x14ac:dyDescent="0.35">
      <c r="B10" s="4"/>
      <c r="D10" s="5"/>
      <c r="F10" s="4"/>
      <c r="H10" s="5"/>
      <c r="J10" s="4"/>
      <c r="L10" s="5"/>
      <c r="N10" s="4"/>
      <c r="P10" s="5"/>
    </row>
    <row r="11" spans="2:18" x14ac:dyDescent="0.35">
      <c r="B11" s="4"/>
      <c r="D11" s="5"/>
      <c r="F11" s="4"/>
      <c r="H11" s="5"/>
      <c r="J11" s="4"/>
      <c r="L11" s="5"/>
      <c r="N11" s="4"/>
      <c r="P11" s="5"/>
      <c r="R11" s="1" t="s">
        <v>137</v>
      </c>
    </row>
    <row r="12" spans="2:18" x14ac:dyDescent="0.35">
      <c r="B12" s="4"/>
      <c r="D12" s="5"/>
      <c r="F12" s="4"/>
      <c r="H12" s="5"/>
      <c r="J12" s="4"/>
      <c r="L12" s="5"/>
      <c r="N12" s="4"/>
      <c r="P12" s="5"/>
      <c r="R12" t="s">
        <v>194</v>
      </c>
    </row>
    <row r="13" spans="2:18" x14ac:dyDescent="0.35">
      <c r="B13" s="4"/>
      <c r="D13" s="5"/>
      <c r="F13" s="4"/>
      <c r="H13" s="5"/>
      <c r="J13" s="4"/>
      <c r="L13" s="5"/>
      <c r="N13" s="4"/>
      <c r="P13" s="5"/>
      <c r="R13" t="s">
        <v>195</v>
      </c>
    </row>
    <row r="14" spans="2:18" x14ac:dyDescent="0.35">
      <c r="B14" s="4"/>
      <c r="D14" s="5"/>
      <c r="F14" s="4"/>
      <c r="H14" s="5"/>
      <c r="J14" s="4"/>
      <c r="L14" s="5"/>
      <c r="N14" s="4"/>
      <c r="P14" s="5"/>
      <c r="R14" s="63" t="s">
        <v>193</v>
      </c>
    </row>
    <row r="15" spans="2:18" x14ac:dyDescent="0.35">
      <c r="B15" s="4"/>
      <c r="D15" s="5"/>
      <c r="F15" s="4"/>
      <c r="H15" s="5"/>
      <c r="J15" s="4"/>
      <c r="L15" s="5"/>
      <c r="N15" s="4"/>
      <c r="P15" s="5"/>
    </row>
    <row r="16" spans="2:18" x14ac:dyDescent="0.35">
      <c r="B16" s="4"/>
      <c r="D16" s="5"/>
      <c r="F16" s="4"/>
      <c r="H16" s="5"/>
      <c r="J16" s="4"/>
      <c r="L16" s="5"/>
      <c r="N16" s="4"/>
      <c r="P16" s="5"/>
    </row>
    <row r="17" spans="2:22" ht="17.5" x14ac:dyDescent="0.35">
      <c r="B17" s="4"/>
      <c r="D17" s="5"/>
      <c r="F17" s="4"/>
      <c r="H17" s="5"/>
      <c r="J17" s="4"/>
      <c r="L17" s="5"/>
      <c r="N17" s="4"/>
      <c r="P17" s="5"/>
      <c r="U17" s="321" t="s">
        <v>150</v>
      </c>
      <c r="V17" s="321"/>
    </row>
    <row r="18" spans="2:22" x14ac:dyDescent="0.35">
      <c r="B18" s="4"/>
      <c r="D18" s="5"/>
      <c r="F18" s="4"/>
      <c r="H18" s="5"/>
      <c r="J18" s="4"/>
      <c r="L18" s="5"/>
      <c r="N18" s="4"/>
      <c r="P18" s="5"/>
    </row>
    <row r="19" spans="2:22" ht="15" thickBot="1" x14ac:dyDescent="0.4">
      <c r="B19" s="60"/>
      <c r="C19" s="61"/>
      <c r="D19" s="62"/>
      <c r="F19" s="60"/>
      <c r="G19" s="61"/>
      <c r="H19" s="62"/>
      <c r="J19" s="60"/>
      <c r="K19" s="61"/>
      <c r="L19" s="62"/>
      <c r="N19" s="60"/>
      <c r="O19" s="61"/>
      <c r="P19" s="62"/>
      <c r="U19" s="63" t="s">
        <v>148</v>
      </c>
    </row>
    <row r="20" spans="2:22" ht="15" thickBot="1" x14ac:dyDescent="0.4">
      <c r="U20" s="63" t="s">
        <v>149</v>
      </c>
    </row>
    <row r="21" spans="2:22" ht="18.5" x14ac:dyDescent="0.45">
      <c r="B21" s="329" t="s">
        <v>379</v>
      </c>
      <c r="C21" s="330"/>
      <c r="D21" s="331"/>
      <c r="F21" s="329" t="s">
        <v>381</v>
      </c>
      <c r="G21" s="330"/>
      <c r="H21" s="331"/>
      <c r="J21" s="329" t="s">
        <v>377</v>
      </c>
      <c r="K21" s="330"/>
      <c r="L21" s="331"/>
      <c r="M21" s="200"/>
      <c r="N21" s="323" t="s">
        <v>304</v>
      </c>
      <c r="O21" s="324"/>
      <c r="P21" s="325"/>
    </row>
    <row r="22" spans="2:22" ht="18.5" x14ac:dyDescent="0.45">
      <c r="B22" s="317" t="s">
        <v>380</v>
      </c>
      <c r="C22" s="318"/>
      <c r="D22" s="319"/>
      <c r="F22" s="317" t="s">
        <v>380</v>
      </c>
      <c r="G22" s="318"/>
      <c r="H22" s="319"/>
      <c r="J22" s="317" t="s">
        <v>378</v>
      </c>
      <c r="K22" s="318"/>
      <c r="L22" s="319"/>
      <c r="M22" s="200"/>
      <c r="N22" s="326"/>
      <c r="O22" s="327"/>
      <c r="P22" s="328"/>
    </row>
    <row r="23" spans="2:22" x14ac:dyDescent="0.35">
      <c r="B23" s="4"/>
      <c r="D23" s="5"/>
      <c r="F23" s="4"/>
      <c r="H23" s="5"/>
      <c r="J23" s="4"/>
      <c r="L23" s="5"/>
      <c r="N23" s="4"/>
      <c r="P23" s="5"/>
    </row>
    <row r="24" spans="2:22" x14ac:dyDescent="0.35">
      <c r="B24" s="4"/>
      <c r="D24" s="5"/>
      <c r="F24" s="4"/>
      <c r="H24" s="5"/>
      <c r="J24" s="4"/>
      <c r="L24" s="5"/>
      <c r="N24" s="4"/>
      <c r="P24" s="5"/>
    </row>
    <row r="25" spans="2:22" x14ac:dyDescent="0.35">
      <c r="B25" s="4"/>
      <c r="D25" s="5"/>
      <c r="F25" s="4"/>
      <c r="H25" s="5"/>
      <c r="J25" s="4"/>
      <c r="L25" s="5"/>
      <c r="N25" s="4"/>
      <c r="P25" s="5"/>
    </row>
    <row r="26" spans="2:22" x14ac:dyDescent="0.35">
      <c r="B26" s="4"/>
      <c r="D26" s="5"/>
      <c r="F26" s="4"/>
      <c r="H26" s="5"/>
      <c r="J26" s="4"/>
      <c r="L26" s="5"/>
      <c r="N26" s="4"/>
      <c r="P26" s="5"/>
    </row>
    <row r="27" spans="2:22" x14ac:dyDescent="0.35">
      <c r="B27" s="4"/>
      <c r="D27" s="5"/>
      <c r="F27" s="4"/>
      <c r="H27" s="5"/>
      <c r="J27" s="4"/>
      <c r="L27" s="5"/>
      <c r="N27" s="4"/>
      <c r="P27" s="5"/>
    </row>
    <row r="28" spans="2:22" x14ac:dyDescent="0.35">
      <c r="B28" s="4"/>
      <c r="D28" s="5"/>
      <c r="F28" s="4"/>
      <c r="H28" s="5"/>
      <c r="J28" s="4"/>
      <c r="L28" s="5"/>
      <c r="N28" s="4"/>
      <c r="P28" s="5"/>
    </row>
    <row r="29" spans="2:22" x14ac:dyDescent="0.35">
      <c r="B29" s="4"/>
      <c r="D29" s="5"/>
      <c r="F29" s="4"/>
      <c r="H29" s="5"/>
      <c r="J29" s="4"/>
      <c r="L29" s="5"/>
      <c r="N29" s="4"/>
      <c r="P29" s="5"/>
    </row>
    <row r="30" spans="2:22" x14ac:dyDescent="0.35">
      <c r="B30" s="4"/>
      <c r="D30" s="5"/>
      <c r="F30" s="4"/>
      <c r="H30" s="5"/>
      <c r="J30" s="4"/>
      <c r="L30" s="5"/>
      <c r="N30" s="4"/>
      <c r="P30" s="5"/>
    </row>
    <row r="31" spans="2:22" x14ac:dyDescent="0.35">
      <c r="B31" s="4"/>
      <c r="D31" s="5"/>
      <c r="F31" s="4"/>
      <c r="H31" s="5"/>
      <c r="J31" s="4"/>
      <c r="L31" s="5"/>
      <c r="N31" s="4"/>
      <c r="P31" s="5"/>
    </row>
    <row r="32" spans="2:22" ht="15" thickBot="1" x14ac:dyDescent="0.4">
      <c r="B32" s="60"/>
      <c r="C32" s="61"/>
      <c r="D32" s="62"/>
      <c r="F32" s="60"/>
      <c r="G32" s="61"/>
      <c r="H32" s="62"/>
      <c r="J32" s="60"/>
      <c r="K32" s="61"/>
      <c r="L32" s="62"/>
      <c r="N32" s="60"/>
      <c r="O32" s="61"/>
      <c r="P32" s="62"/>
    </row>
  </sheetData>
  <sheetProtection algorithmName="SHA-512" hashValue="ns+uzK1BqgLdAw8Swn6IO5gFji9bxxD/hpMxlD0DBBHiX3p7lrzL4YGzDokXkGANWW+wqxGMXpB3R7wum36N+A==" saltValue="S+OQAfhIX63+vuiQZknaKA==" spinCount="100000" sheet="1" selectLockedCells="1"/>
  <mergeCells count="19">
    <mergeCell ref="F21:H21"/>
    <mergeCell ref="F22:H22"/>
    <mergeCell ref="J21:L21"/>
    <mergeCell ref="J22:L22"/>
    <mergeCell ref="B4:P6"/>
    <mergeCell ref="U17:V17"/>
    <mergeCell ref="B1:L1"/>
    <mergeCell ref="B2:L2"/>
    <mergeCell ref="N21:P22"/>
    <mergeCell ref="N8:P8"/>
    <mergeCell ref="N9:P9"/>
    <mergeCell ref="B21:D21"/>
    <mergeCell ref="B22:D22"/>
    <mergeCell ref="B8:D8"/>
    <mergeCell ref="B9:D9"/>
    <mergeCell ref="F8:H8"/>
    <mergeCell ref="F9:H9"/>
    <mergeCell ref="J8:L8"/>
    <mergeCell ref="J9:L9"/>
  </mergeCells>
  <hyperlinks>
    <hyperlink ref="R14" r:id="rId1" xr:uid="{00000000-0004-0000-0000-000000000000}"/>
    <hyperlink ref="U19" r:id="rId2" xr:uid="{00000000-0004-0000-0000-000001000000}"/>
    <hyperlink ref="U20" r:id="rId3" xr:uid="{00000000-0004-0000-0000-000002000000}"/>
  </hyperlinks>
  <pageMargins left="0.7" right="0.7" top="0.75" bottom="0.75" header="0.3" footer="0.3"/>
  <pageSetup orientation="portrait" r:id="rId4"/>
  <drawing r:id="rId5"/>
  <legacyDrawing r:id="rId6"/>
  <mc:AlternateContent xmlns:mc="http://schemas.openxmlformats.org/markup-compatibility/2006">
    <mc:Choice Requires="x14">
      <controls>
        <mc:AlternateContent xmlns:mc="http://schemas.openxmlformats.org/markup-compatibility/2006">
          <mc:Choice Requires="x14">
            <control shapeId="2049" r:id="rId7" name="Button 1">
              <controlPr defaultSize="0" print="0" autoFill="0" autoPict="0" macro="[0]!Steps1to5">
                <anchor moveWithCells="1" sizeWithCells="1">
                  <from>
                    <xdr:col>1</xdr:col>
                    <xdr:colOff>19050</xdr:colOff>
                    <xdr:row>17</xdr:row>
                    <xdr:rowOff>0</xdr:rowOff>
                  </from>
                  <to>
                    <xdr:col>2</xdr:col>
                    <xdr:colOff>222250</xdr:colOff>
                    <xdr:row>18</xdr:row>
                    <xdr:rowOff>127000</xdr:rowOff>
                  </to>
                </anchor>
              </controlPr>
            </control>
          </mc:Choice>
        </mc:AlternateContent>
        <mc:AlternateContent xmlns:mc="http://schemas.openxmlformats.org/markup-compatibility/2006">
          <mc:Choice Requires="x14">
            <control shapeId="2050" r:id="rId8" name="Button 2">
              <controlPr defaultSize="0" print="0" autoFill="0" autoPict="0" macro="[0]!Steps6and7">
                <anchor moveWithCells="1" sizeWithCells="1">
                  <from>
                    <xdr:col>2</xdr:col>
                    <xdr:colOff>355600</xdr:colOff>
                    <xdr:row>17</xdr:row>
                    <xdr:rowOff>12700</xdr:rowOff>
                  </from>
                  <to>
                    <xdr:col>3</xdr:col>
                    <xdr:colOff>584200</xdr:colOff>
                    <xdr:row>18</xdr:row>
                    <xdr:rowOff>127000</xdr:rowOff>
                  </to>
                </anchor>
              </controlPr>
            </control>
          </mc:Choice>
        </mc:AlternateContent>
        <mc:AlternateContent xmlns:mc="http://schemas.openxmlformats.org/markup-compatibility/2006">
          <mc:Choice Requires="x14">
            <control shapeId="2052" r:id="rId9" name="Button 4">
              <controlPr defaultSize="0" print="0" autoFill="0" autoPict="0" macro="[0]!Step8">
                <anchor moveWithCells="1" sizeWithCells="1">
                  <from>
                    <xdr:col>13</xdr:col>
                    <xdr:colOff>431800</xdr:colOff>
                    <xdr:row>29</xdr:row>
                    <xdr:rowOff>146050</xdr:rowOff>
                  </from>
                  <to>
                    <xdr:col>15</xdr:col>
                    <xdr:colOff>146050</xdr:colOff>
                    <xdr:row>31</xdr:row>
                    <xdr:rowOff>88900</xdr:rowOff>
                  </to>
                </anchor>
              </controlPr>
            </control>
          </mc:Choice>
        </mc:AlternateContent>
        <mc:AlternateContent xmlns:mc="http://schemas.openxmlformats.org/markup-compatibility/2006">
          <mc:Choice Requires="x14">
            <control shapeId="2053" r:id="rId10" name="Button 5">
              <controlPr defaultSize="0" print="0" autoFill="0" autoPict="0" macro="[0]!Step9">
                <anchor moveWithCells="1" sizeWithCells="1">
                  <from>
                    <xdr:col>5</xdr:col>
                    <xdr:colOff>469900</xdr:colOff>
                    <xdr:row>16</xdr:row>
                    <xdr:rowOff>165100</xdr:rowOff>
                  </from>
                  <to>
                    <xdr:col>7</xdr:col>
                    <xdr:colOff>88900</xdr:colOff>
                    <xdr:row>18</xdr:row>
                    <xdr:rowOff>69850</xdr:rowOff>
                  </to>
                </anchor>
              </controlPr>
            </control>
          </mc:Choice>
        </mc:AlternateContent>
        <mc:AlternateContent xmlns:mc="http://schemas.openxmlformats.org/markup-compatibility/2006">
          <mc:Choice Requires="x14">
            <control shapeId="2054" r:id="rId11" name="Button 6">
              <controlPr defaultSize="0" print="0" autoFill="0" autoPict="0" macro="[0]!Step10">
                <anchor moveWithCells="1" sizeWithCells="1">
                  <from>
                    <xdr:col>9</xdr:col>
                    <xdr:colOff>488950</xdr:colOff>
                    <xdr:row>16</xdr:row>
                    <xdr:rowOff>184150</xdr:rowOff>
                  </from>
                  <to>
                    <xdr:col>11</xdr:col>
                    <xdr:colOff>152400</xdr:colOff>
                    <xdr:row>18</xdr:row>
                    <xdr:rowOff>88900</xdr:rowOff>
                  </to>
                </anchor>
              </controlPr>
            </control>
          </mc:Choice>
        </mc:AlternateContent>
        <mc:AlternateContent xmlns:mc="http://schemas.openxmlformats.org/markup-compatibility/2006">
          <mc:Choice Requires="x14">
            <control shapeId="2055" r:id="rId12" name="Button 7">
              <controlPr defaultSize="0" print="0" autoFill="0" autoPict="0" macro="[0]!Step11">
                <anchor moveWithCells="1" sizeWithCells="1">
                  <from>
                    <xdr:col>13</xdr:col>
                    <xdr:colOff>419100</xdr:colOff>
                    <xdr:row>16</xdr:row>
                    <xdr:rowOff>133350</xdr:rowOff>
                  </from>
                  <to>
                    <xdr:col>15</xdr:col>
                    <xdr:colOff>107950</xdr:colOff>
                    <xdr:row>18</xdr:row>
                    <xdr:rowOff>107950</xdr:rowOff>
                  </to>
                </anchor>
              </controlPr>
            </control>
          </mc:Choice>
        </mc:AlternateContent>
        <mc:AlternateContent xmlns:mc="http://schemas.openxmlformats.org/markup-compatibility/2006">
          <mc:Choice Requires="x14">
            <control shapeId="2056" r:id="rId13" name="Button 8">
              <controlPr defaultSize="0" print="0" autoFill="0" autoPict="0" macro="[0]!Step12and13">
                <anchor moveWithCells="1" sizeWithCells="1">
                  <from>
                    <xdr:col>1</xdr:col>
                    <xdr:colOff>400050</xdr:colOff>
                    <xdr:row>29</xdr:row>
                    <xdr:rowOff>133350</xdr:rowOff>
                  </from>
                  <to>
                    <xdr:col>3</xdr:col>
                    <xdr:colOff>95250</xdr:colOff>
                    <xdr:row>31</xdr:row>
                    <xdr:rowOff>95250</xdr:rowOff>
                  </to>
                </anchor>
              </controlPr>
            </control>
          </mc:Choice>
        </mc:AlternateContent>
        <mc:AlternateContent xmlns:mc="http://schemas.openxmlformats.org/markup-compatibility/2006">
          <mc:Choice Requires="x14">
            <control shapeId="2057" r:id="rId14" name="Button 9">
              <controlPr defaultSize="0" print="0" autoFill="0" autoPict="0" macro="[0]!Budget">
                <anchor moveWithCells="1" sizeWithCells="1">
                  <from>
                    <xdr:col>16</xdr:col>
                    <xdr:colOff>603250</xdr:colOff>
                    <xdr:row>18</xdr:row>
                    <xdr:rowOff>12700</xdr:rowOff>
                  </from>
                  <to>
                    <xdr:col>19</xdr:col>
                    <xdr:colOff>190500</xdr:colOff>
                    <xdr:row>20</xdr:row>
                    <xdr:rowOff>57150</xdr:rowOff>
                  </to>
                </anchor>
              </controlPr>
            </control>
          </mc:Choice>
        </mc:AlternateContent>
        <mc:AlternateContent xmlns:mc="http://schemas.openxmlformats.org/markup-compatibility/2006">
          <mc:Choice Requires="x14">
            <control shapeId="2058" r:id="rId15" name="Button 10">
              <controlPr defaultSize="0" print="0" autoFill="0" autoPict="0" macro="[0]!Graph">
                <anchor moveWithCells="1" sizeWithCells="1">
                  <from>
                    <xdr:col>16</xdr:col>
                    <xdr:colOff>603250</xdr:colOff>
                    <xdr:row>21</xdr:row>
                    <xdr:rowOff>19050</xdr:rowOff>
                  </from>
                  <to>
                    <xdr:col>19</xdr:col>
                    <xdr:colOff>190500</xdr:colOff>
                    <xdr:row>23</xdr:row>
                    <xdr:rowOff>50800</xdr:rowOff>
                  </to>
                </anchor>
              </controlPr>
            </control>
          </mc:Choice>
        </mc:AlternateContent>
        <mc:AlternateContent xmlns:mc="http://schemas.openxmlformats.org/markup-compatibility/2006">
          <mc:Choice Requires="x14">
            <control shapeId="2059" r:id="rId16" name="Button 11">
              <controlPr defaultSize="0" print="0" autoFill="0" autoPict="0" macro="[0]!Step_13">
                <anchor moveWithCells="1" sizeWithCells="1">
                  <from>
                    <xdr:col>5</xdr:col>
                    <xdr:colOff>400050</xdr:colOff>
                    <xdr:row>29</xdr:row>
                    <xdr:rowOff>133350</xdr:rowOff>
                  </from>
                  <to>
                    <xdr:col>7</xdr:col>
                    <xdr:colOff>95250</xdr:colOff>
                    <xdr:row>31</xdr:row>
                    <xdr:rowOff>95250</xdr:rowOff>
                  </to>
                </anchor>
              </controlPr>
            </control>
          </mc:Choice>
        </mc:AlternateContent>
        <mc:AlternateContent xmlns:mc="http://schemas.openxmlformats.org/markup-compatibility/2006">
          <mc:Choice Requires="x14">
            <control shapeId="2060" r:id="rId17" name="Button 12">
              <controlPr defaultSize="0" print="0" autoFill="0" autoPict="0" macro="[0]!Step12and13">
                <anchor moveWithCells="1" sizeWithCells="1">
                  <from>
                    <xdr:col>9</xdr:col>
                    <xdr:colOff>361950</xdr:colOff>
                    <xdr:row>29</xdr:row>
                    <xdr:rowOff>133350</xdr:rowOff>
                  </from>
                  <to>
                    <xdr:col>11</xdr:col>
                    <xdr:colOff>190500</xdr:colOff>
                    <xdr:row>31</xdr:row>
                    <xdr:rowOff>95250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264268-F4BB-4652-BA2A-8E7882A12377}">
  <sheetPr codeName="Sheet8"/>
  <dimension ref="A1:F34"/>
  <sheetViews>
    <sheetView showGridLines="0" topLeftCell="A2" workbookViewId="0">
      <selection activeCell="B13" sqref="B13"/>
    </sheetView>
  </sheetViews>
  <sheetFormatPr defaultRowHeight="14.5" x14ac:dyDescent="0.35"/>
  <cols>
    <col min="1" max="1" width="45.54296875" customWidth="1"/>
    <col min="2" max="2" width="11.1796875" bestFit="1" customWidth="1"/>
    <col min="5" max="5" width="43.1796875" customWidth="1"/>
    <col min="6" max="6" width="10.1796875" bestFit="1" customWidth="1"/>
  </cols>
  <sheetData>
    <row r="1" spans="1:6" ht="18.5" x14ac:dyDescent="0.45">
      <c r="A1" s="257" t="s">
        <v>339</v>
      </c>
      <c r="B1" s="26"/>
      <c r="C1" s="26"/>
      <c r="D1" s="26"/>
      <c r="E1" s="26"/>
      <c r="F1" s="27"/>
    </row>
    <row r="2" spans="1:6" x14ac:dyDescent="0.35">
      <c r="A2" s="4"/>
      <c r="F2" s="5"/>
    </row>
    <row r="3" spans="1:6" ht="20.149999999999999" customHeight="1" x14ac:dyDescent="0.35">
      <c r="A3" s="332" t="s">
        <v>276</v>
      </c>
      <c r="B3" s="333"/>
      <c r="C3" s="333"/>
      <c r="D3" s="333"/>
      <c r="F3" s="5"/>
    </row>
    <row r="4" spans="1:6" ht="20.149999999999999" customHeight="1" x14ac:dyDescent="0.45">
      <c r="A4" s="332"/>
      <c r="B4" s="333"/>
      <c r="C4" s="333"/>
      <c r="D4" s="333"/>
      <c r="E4" s="199"/>
      <c r="F4" s="201"/>
    </row>
    <row r="5" spans="1:6" ht="20.149999999999999" customHeight="1" x14ac:dyDescent="0.45">
      <c r="A5" s="332"/>
      <c r="B5" s="333"/>
      <c r="C5" s="333"/>
      <c r="D5" s="333"/>
      <c r="E5" s="199"/>
      <c r="F5" s="201"/>
    </row>
    <row r="6" spans="1:6" ht="18.5" x14ac:dyDescent="0.45">
      <c r="A6" s="258"/>
      <c r="B6" s="171"/>
      <c r="C6" s="171"/>
      <c r="D6" s="171"/>
      <c r="E6" s="199"/>
      <c r="F6" s="201"/>
    </row>
    <row r="7" spans="1:6" ht="18.5" x14ac:dyDescent="0.45">
      <c r="A7" s="259" t="s">
        <v>236</v>
      </c>
      <c r="E7" s="318" t="s">
        <v>237</v>
      </c>
      <c r="F7" s="319"/>
    </row>
    <row r="8" spans="1:6" x14ac:dyDescent="0.35">
      <c r="A8" s="4"/>
      <c r="F8" s="5"/>
    </row>
    <row r="9" spans="1:6" x14ac:dyDescent="0.35">
      <c r="A9" s="31" t="s">
        <v>238</v>
      </c>
      <c r="B9" s="313">
        <v>100000</v>
      </c>
      <c r="E9" s="8" t="s">
        <v>239</v>
      </c>
      <c r="F9" s="260">
        <f>((B19/B22)*(B21*B22))/43560</f>
        <v>43.044077134986225</v>
      </c>
    </row>
    <row r="10" spans="1:6" x14ac:dyDescent="0.35">
      <c r="A10" s="31" t="s">
        <v>240</v>
      </c>
      <c r="B10" s="296">
        <v>7</v>
      </c>
      <c r="E10" s="8" t="s">
        <v>241</v>
      </c>
      <c r="F10" s="261">
        <f>(B28*F9)/B19</f>
        <v>0.75757575757575757</v>
      </c>
    </row>
    <row r="11" spans="1:6" x14ac:dyDescent="0.35">
      <c r="A11" s="31" t="s">
        <v>242</v>
      </c>
      <c r="B11" s="313">
        <v>3000</v>
      </c>
      <c r="E11" s="8" t="s">
        <v>243</v>
      </c>
      <c r="F11" s="262">
        <f>(F10*B19)*B29</f>
        <v>85227.272727272735</v>
      </c>
    </row>
    <row r="12" spans="1:6" x14ac:dyDescent="0.35">
      <c r="A12" s="31" t="s">
        <v>244</v>
      </c>
      <c r="B12" s="313">
        <v>300</v>
      </c>
      <c r="E12" s="174" t="s">
        <v>245</v>
      </c>
      <c r="F12" s="263">
        <f>(((B19*B20)/5280)/(B18))/B30</f>
        <v>21.043771043771045</v>
      </c>
    </row>
    <row r="13" spans="1:6" x14ac:dyDescent="0.35">
      <c r="A13" s="31" t="s">
        <v>246</v>
      </c>
      <c r="B13" s="313">
        <v>1000</v>
      </c>
      <c r="E13" s="8" t="s">
        <v>247</v>
      </c>
      <c r="F13" s="262">
        <f>F11/F12</f>
        <v>4050</v>
      </c>
    </row>
    <row r="14" spans="1:6" x14ac:dyDescent="0.35">
      <c r="A14" s="31" t="s">
        <v>248</v>
      </c>
      <c r="B14" s="313">
        <v>0</v>
      </c>
      <c r="F14" s="264"/>
    </row>
    <row r="15" spans="1:6" x14ac:dyDescent="0.35">
      <c r="A15" s="31" t="s">
        <v>249</v>
      </c>
      <c r="B15" s="313">
        <v>0</v>
      </c>
      <c r="E15" s="8" t="s">
        <v>250</v>
      </c>
      <c r="F15" s="265">
        <f>F12*B25</f>
        <v>946.969696969697</v>
      </c>
    </row>
    <row r="16" spans="1:6" x14ac:dyDescent="0.35">
      <c r="A16" s="31" t="s">
        <v>251</v>
      </c>
      <c r="B16" s="314">
        <v>4.75</v>
      </c>
      <c r="E16" s="8" t="s">
        <v>252</v>
      </c>
      <c r="F16" s="265">
        <f>(F12*B26*B27)</f>
        <v>631.31313131313141</v>
      </c>
    </row>
    <row r="17" spans="1:6" x14ac:dyDescent="0.35">
      <c r="A17" s="31" t="s">
        <v>253</v>
      </c>
      <c r="B17" s="315">
        <v>2</v>
      </c>
      <c r="E17" s="8" t="s">
        <v>254</v>
      </c>
      <c r="F17" s="266">
        <f>(F12*B17)*B16</f>
        <v>199.91582491582494</v>
      </c>
    </row>
    <row r="18" spans="1:6" x14ac:dyDescent="0.35">
      <c r="A18" s="31" t="s">
        <v>255</v>
      </c>
      <c r="B18" s="315">
        <v>1.5</v>
      </c>
      <c r="E18" s="8" t="s">
        <v>256</v>
      </c>
      <c r="F18" s="265">
        <f>(B9/B10)+B11+B12+B13+B14+B15</f>
        <v>18585.714285714286</v>
      </c>
    </row>
    <row r="19" spans="1:6" x14ac:dyDescent="0.35">
      <c r="A19" s="31" t="s">
        <v>257</v>
      </c>
      <c r="B19" s="296">
        <v>125000</v>
      </c>
      <c r="E19" s="175" t="s">
        <v>258</v>
      </c>
      <c r="F19" s="267">
        <f>(F15+F16+F17+F18)/F9</f>
        <v>473.09442539682544</v>
      </c>
    </row>
    <row r="20" spans="1:6" x14ac:dyDescent="0.35">
      <c r="A20" s="31" t="s">
        <v>259</v>
      </c>
      <c r="B20" s="296">
        <v>1</v>
      </c>
      <c r="E20" s="175" t="s">
        <v>260</v>
      </c>
      <c r="F20" s="267">
        <f>(F15+F16+F17+F18)/F12</f>
        <v>967.6931428571429</v>
      </c>
    </row>
    <row r="21" spans="1:6" x14ac:dyDescent="0.35">
      <c r="A21" s="31" t="s">
        <v>261</v>
      </c>
      <c r="B21" s="296">
        <v>15</v>
      </c>
      <c r="E21" s="175" t="s">
        <v>262</v>
      </c>
      <c r="F21" s="268">
        <f>(F15+F17+F18+F16)/F11</f>
        <v>0.23893657848324512</v>
      </c>
    </row>
    <row r="22" spans="1:6" x14ac:dyDescent="0.35">
      <c r="A22" s="31" t="s">
        <v>263</v>
      </c>
      <c r="B22" s="296">
        <v>6</v>
      </c>
      <c r="F22" s="269"/>
    </row>
    <row r="23" spans="1:6" x14ac:dyDescent="0.35">
      <c r="A23" s="31" t="s">
        <v>264</v>
      </c>
      <c r="B23" s="296">
        <v>13</v>
      </c>
      <c r="E23" s="175" t="s">
        <v>265</v>
      </c>
      <c r="F23" s="268">
        <f>((F11/B23)*B24)/F11</f>
        <v>1.1538461538461537</v>
      </c>
    </row>
    <row r="24" spans="1:6" x14ac:dyDescent="0.35">
      <c r="A24" s="31" t="s">
        <v>266</v>
      </c>
      <c r="B24" s="314">
        <v>15</v>
      </c>
      <c r="F24" s="5"/>
    </row>
    <row r="25" spans="1:6" x14ac:dyDescent="0.35">
      <c r="A25" s="31" t="s">
        <v>267</v>
      </c>
      <c r="B25" s="314">
        <v>45</v>
      </c>
      <c r="F25" s="5"/>
    </row>
    <row r="26" spans="1:6" x14ac:dyDescent="0.35">
      <c r="A26" s="31" t="s">
        <v>268</v>
      </c>
      <c r="B26" s="316">
        <v>2</v>
      </c>
      <c r="F26" s="5"/>
    </row>
    <row r="27" spans="1:6" x14ac:dyDescent="0.35">
      <c r="A27" s="31" t="s">
        <v>269</v>
      </c>
      <c r="B27" s="314">
        <v>15</v>
      </c>
      <c r="F27" s="5"/>
    </row>
    <row r="28" spans="1:6" x14ac:dyDescent="0.35">
      <c r="A28" s="31" t="s">
        <v>270</v>
      </c>
      <c r="B28" s="296">
        <v>2200</v>
      </c>
      <c r="F28" s="5"/>
    </row>
    <row r="29" spans="1:6" x14ac:dyDescent="0.35">
      <c r="A29" s="31" t="s">
        <v>271</v>
      </c>
      <c r="B29" s="296">
        <v>0.9</v>
      </c>
      <c r="F29" s="5"/>
    </row>
    <row r="30" spans="1:6" x14ac:dyDescent="0.35">
      <c r="A30" s="31" t="s">
        <v>272</v>
      </c>
      <c r="B30" s="296">
        <v>0.75</v>
      </c>
      <c r="F30" s="5"/>
    </row>
    <row r="31" spans="1:6" x14ac:dyDescent="0.35">
      <c r="A31" s="31" t="s">
        <v>273</v>
      </c>
      <c r="B31" s="314">
        <v>1.5</v>
      </c>
      <c r="F31" s="5"/>
    </row>
    <row r="32" spans="1:6" x14ac:dyDescent="0.35">
      <c r="A32" s="4"/>
      <c r="F32" s="5"/>
    </row>
    <row r="33" spans="1:6" x14ac:dyDescent="0.35">
      <c r="A33" s="4" t="s">
        <v>274</v>
      </c>
      <c r="F33" s="5"/>
    </row>
    <row r="34" spans="1:6" ht="15" thickBot="1" x14ac:dyDescent="0.4">
      <c r="A34" s="60" t="s">
        <v>275</v>
      </c>
      <c r="B34" s="61"/>
      <c r="C34" s="61"/>
      <c r="D34" s="61"/>
      <c r="E34" s="61"/>
      <c r="F34" s="62"/>
    </row>
  </sheetData>
  <sheetProtection algorithmName="SHA-512" hashValue="AsJd5dWaum/xkHYU348BI6Jj6a0VdPaqXixSJvTOEA7LsbCEW5dFpI4DRqSNebgeilfGgh1ER9ZlOFKvry4Mng==" saltValue="EF2xbcQwTylWfZEpLg9tTA==" spinCount="100000" sheet="1" objects="1" scenarios="1" selectLockedCells="1"/>
  <mergeCells count="2">
    <mergeCell ref="E7:F7"/>
    <mergeCell ref="A3:D5"/>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S46"/>
  <sheetViews>
    <sheetView showGridLines="0" zoomScale="80" zoomScaleNormal="80" workbookViewId="0">
      <pane ySplit="4" topLeftCell="A14" activePane="bottomLeft" state="frozen"/>
      <selection pane="bottomLeft" activeCell="E50" sqref="E50"/>
    </sheetView>
  </sheetViews>
  <sheetFormatPr defaultRowHeight="14.5" x14ac:dyDescent="0.35"/>
  <cols>
    <col min="1" max="1" width="3.1796875" customWidth="1"/>
    <col min="2" max="2" width="33.26953125" customWidth="1"/>
    <col min="3" max="3" width="9" customWidth="1"/>
    <col min="4" max="4" width="9.7265625" customWidth="1"/>
    <col min="5" max="5" width="10.54296875" customWidth="1"/>
    <col min="6" max="14" width="9.7265625" customWidth="1"/>
    <col min="15" max="15" width="10.54296875" customWidth="1"/>
    <col min="16" max="16" width="9.7265625" customWidth="1"/>
    <col min="17" max="17" width="10" customWidth="1"/>
    <col min="18" max="18" width="9.7265625" customWidth="1"/>
    <col min="19" max="19" width="10.1796875" customWidth="1"/>
  </cols>
  <sheetData>
    <row r="1" spans="2:19" ht="21" x14ac:dyDescent="0.5">
      <c r="B1" s="19" t="s">
        <v>89</v>
      </c>
      <c r="C1" s="46"/>
    </row>
    <row r="2" spans="2:19" ht="18.5" x14ac:dyDescent="0.45">
      <c r="D2" s="318" t="s">
        <v>0</v>
      </c>
      <c r="E2" s="318"/>
      <c r="F2" s="318"/>
      <c r="G2" s="318"/>
      <c r="H2" s="318"/>
      <c r="I2" s="318"/>
      <c r="J2" s="318"/>
      <c r="K2" s="318"/>
      <c r="L2" s="318"/>
      <c r="M2" s="318"/>
      <c r="N2" s="318"/>
      <c r="O2" s="318"/>
      <c r="P2" s="318"/>
      <c r="Q2" s="318"/>
      <c r="R2" s="318"/>
      <c r="S2" s="318"/>
    </row>
    <row r="3" spans="2:19" ht="15.5" x14ac:dyDescent="0.35">
      <c r="D3" s="413" t="s">
        <v>147</v>
      </c>
      <c r="E3" s="414"/>
      <c r="F3" s="415" t="s">
        <v>309</v>
      </c>
      <c r="G3" s="416"/>
      <c r="H3" s="416"/>
      <c r="I3" s="417"/>
      <c r="J3" s="413" t="s">
        <v>310</v>
      </c>
      <c r="K3" s="418"/>
      <c r="L3" s="418"/>
      <c r="M3" s="418"/>
      <c r="N3" s="418"/>
      <c r="O3" s="418"/>
      <c r="P3" s="418"/>
      <c r="Q3" s="418"/>
      <c r="R3" s="418"/>
      <c r="S3" s="414"/>
    </row>
    <row r="4" spans="2:19" ht="15.5" x14ac:dyDescent="0.35">
      <c r="B4" s="46" t="s">
        <v>90</v>
      </c>
      <c r="C4" s="46"/>
      <c r="D4" s="12">
        <v>0</v>
      </c>
      <c r="E4" s="12">
        <v>1</v>
      </c>
      <c r="F4" s="12">
        <v>2</v>
      </c>
      <c r="G4" s="12">
        <v>3</v>
      </c>
      <c r="H4" s="124">
        <v>4</v>
      </c>
      <c r="I4" s="12">
        <v>5</v>
      </c>
      <c r="J4" s="214">
        <v>6</v>
      </c>
      <c r="K4" s="12">
        <v>7</v>
      </c>
      <c r="L4" s="12">
        <v>8</v>
      </c>
      <c r="M4" s="12">
        <v>9</v>
      </c>
      <c r="N4" s="12">
        <v>10</v>
      </c>
      <c r="O4" s="12">
        <v>11</v>
      </c>
      <c r="P4" s="12">
        <v>12</v>
      </c>
      <c r="Q4" s="12">
        <v>13</v>
      </c>
      <c r="R4" s="12">
        <v>14</v>
      </c>
      <c r="S4" s="12">
        <v>15</v>
      </c>
    </row>
    <row r="5" spans="2:19" ht="15.5" x14ac:dyDescent="0.35">
      <c r="B5" s="46" t="s">
        <v>186</v>
      </c>
      <c r="C5" s="46"/>
      <c r="D5" s="180">
        <v>0</v>
      </c>
      <c r="E5" s="181">
        <v>0</v>
      </c>
      <c r="F5" s="184">
        <v>0</v>
      </c>
      <c r="G5" s="185">
        <f>'Step 12'!N14</f>
        <v>70.873205741626791</v>
      </c>
      <c r="H5" s="185">
        <f>'Step 12'!N15</f>
        <v>1095.8657296650717</v>
      </c>
      <c r="I5" s="186">
        <f>'Step 12'!N16</f>
        <v>3015.026913875598</v>
      </c>
      <c r="J5" s="182">
        <f>'Step 12'!N17</f>
        <v>5118.3014354066981</v>
      </c>
      <c r="K5" s="182">
        <f>'Step 12'!N18</f>
        <v>8001.4952153110044</v>
      </c>
      <c r="L5" s="215">
        <f>'Step 12'!N19</f>
        <v>9474.5813397129186</v>
      </c>
      <c r="M5" s="182">
        <f>'Step 12'!N20</f>
        <v>10325.059808612441</v>
      </c>
      <c r="N5" s="182">
        <f>'Step 12'!N21</f>
        <v>10325.059808612441</v>
      </c>
      <c r="O5" s="182">
        <f>'Step 12'!N22</f>
        <v>12193.331339712919</v>
      </c>
      <c r="P5" s="182">
        <f>'Step 12'!N23</f>
        <v>10325.059808612441</v>
      </c>
      <c r="Q5" s="182">
        <f>'Step 12'!N24</f>
        <v>12193.331339712919</v>
      </c>
      <c r="R5" s="182">
        <f>'Step 12'!N25</f>
        <v>10325.059808612441</v>
      </c>
      <c r="S5" s="183">
        <f>'Step 12'!N26</f>
        <v>12193.331339712919</v>
      </c>
    </row>
    <row r="6" spans="2:19" x14ac:dyDescent="0.35">
      <c r="B6" s="58" t="s">
        <v>134</v>
      </c>
      <c r="C6" s="58"/>
      <c r="D6" s="92"/>
      <c r="E6" s="93"/>
      <c r="F6" s="136"/>
      <c r="G6" s="137"/>
      <c r="H6" s="137"/>
      <c r="I6" s="138"/>
      <c r="J6" s="104"/>
      <c r="K6" s="104"/>
      <c r="L6" s="104"/>
      <c r="M6" s="104"/>
      <c r="N6" s="104"/>
      <c r="O6" s="104"/>
      <c r="P6" s="104"/>
      <c r="Q6" s="104"/>
      <c r="R6" s="104"/>
      <c r="S6" s="93"/>
    </row>
    <row r="7" spans="2:19" x14ac:dyDescent="0.35">
      <c r="B7" s="2" t="s">
        <v>187</v>
      </c>
      <c r="C7" s="166">
        <f>'Step 12'!P8</f>
        <v>1.5</v>
      </c>
      <c r="D7" s="92"/>
      <c r="E7" s="93"/>
      <c r="F7" s="136"/>
      <c r="G7" s="139">
        <f>'Step 12'!P8*('Step 12'!O14*'Step 12'!N14)</f>
        <v>106.30980861244018</v>
      </c>
      <c r="H7" s="139">
        <f>'Step 12'!P8*'Step 12'!O15*'Step 12'!N15</f>
        <v>1643.7985944976076</v>
      </c>
      <c r="I7" s="140">
        <f>'Step 12'!P8*'Step 12'!O16*'Step 12'!N16</f>
        <v>4522.5403708133972</v>
      </c>
      <c r="J7" s="105">
        <f>'Step 12'!P8*'Step 12'!O17*'Step 12'!N17</f>
        <v>7677.4521531100472</v>
      </c>
      <c r="K7" s="105">
        <f>'Step 12'!P8*'Step 12'!O18*'Step 12'!N18</f>
        <v>12002.242822966506</v>
      </c>
      <c r="L7" s="105">
        <f>'Step 12'!P8*'Step 12'!O19*'Step 12'!N19</f>
        <v>14211.872009569379</v>
      </c>
      <c r="M7" s="105">
        <f>'Step 12'!P8*'Step 12'!O20*'Step 12'!N20</f>
        <v>15487.589712918661</v>
      </c>
      <c r="N7" s="105">
        <f>'Step 12'!P8*'Step 12'!O21*'Step 12'!N21</f>
        <v>15487.589712918661</v>
      </c>
      <c r="O7" s="105">
        <f>'Step 12'!P8*'Step 12'!O22*'Step 12'!N22</f>
        <v>18289.997009569379</v>
      </c>
      <c r="P7" s="105">
        <f>'Step 12'!P8*'Step 12'!O23*'Step 12'!N23</f>
        <v>15487.589712918661</v>
      </c>
      <c r="Q7" s="105">
        <f>'Step 12'!P8*'Step 12'!O24*'Step 12'!N24</f>
        <v>18289.997009569379</v>
      </c>
      <c r="R7" s="105">
        <f>'Step 12'!P8*'Step 12'!O25*'Step 12'!N25</f>
        <v>15487.589712918661</v>
      </c>
      <c r="S7" s="106">
        <f>'Step 12'!P8*'Step 12'!O26*'Step 12'!N26</f>
        <v>18289.997009569379</v>
      </c>
    </row>
    <row r="8" spans="2:19" x14ac:dyDescent="0.35">
      <c r="B8" s="2" t="s">
        <v>188</v>
      </c>
      <c r="C8" s="166">
        <f>'Step 12'!P9</f>
        <v>0</v>
      </c>
      <c r="D8" s="92"/>
      <c r="E8" s="93"/>
      <c r="F8" s="136"/>
      <c r="G8" s="139">
        <f>'Step 12'!P9*'Step 12'!P14*'Step 12'!N14</f>
        <v>0</v>
      </c>
      <c r="H8" s="139">
        <f>'Step 12'!P9*'Step 12'!P15*'Step 12'!N15</f>
        <v>0</v>
      </c>
      <c r="I8" s="140">
        <f>'Step 12'!P9*'Step 12'!P16*'Step 12'!N16</f>
        <v>0</v>
      </c>
      <c r="J8" s="105">
        <f>'Step 12'!P9*'Step 12'!P17*'Step 12'!N17</f>
        <v>0</v>
      </c>
      <c r="K8" s="105">
        <f>'Step 12'!P9*'Step 12'!P18*'Step 12'!N18</f>
        <v>0</v>
      </c>
      <c r="L8" s="105">
        <f>'Step 12'!P9*'Step 12'!P19*'Step 12'!N19</f>
        <v>0</v>
      </c>
      <c r="M8" s="105">
        <f>'Step 12'!P9*'Step 12'!P20*'Step 12'!N20</f>
        <v>0</v>
      </c>
      <c r="N8" s="105">
        <f>'Step 12'!P9*'Step 12'!P21*'Step 12'!N21</f>
        <v>0</v>
      </c>
      <c r="O8" s="105">
        <f>'Step 12'!P9*'Step 12'!P22*'Step 12'!N22</f>
        <v>0</v>
      </c>
      <c r="P8" s="105">
        <f>'Step 12'!P9*'Step 12'!P23*'Step 12'!N23</f>
        <v>0</v>
      </c>
      <c r="Q8" s="105">
        <f>'Step 12'!P9*'Step 12'!P24*'Step 12'!N24</f>
        <v>0</v>
      </c>
      <c r="R8" s="105">
        <f>'Step 12'!P9*'Step 12'!P25*'Step 12'!N25</f>
        <v>0</v>
      </c>
      <c r="S8" s="106">
        <f>'Step 12'!P9*'Step 12'!P26*'Step 12'!N26</f>
        <v>0</v>
      </c>
    </row>
    <row r="9" spans="2:19" x14ac:dyDescent="0.35">
      <c r="B9" s="2" t="s">
        <v>189</v>
      </c>
      <c r="C9" s="166">
        <f>'Step 12'!P10</f>
        <v>0</v>
      </c>
      <c r="D9" s="92"/>
      <c r="E9" s="93"/>
      <c r="F9" s="136"/>
      <c r="G9" s="139">
        <f>'Step 12'!P10*'Step 12'!Q14*'Step 12'!N14</f>
        <v>0</v>
      </c>
      <c r="H9" s="139">
        <f>'Step 12'!P10*'Step 12'!Q15*'Step 12'!N15</f>
        <v>0</v>
      </c>
      <c r="I9" s="140">
        <f>'Step 12'!P10*'Step 12'!Q16*'Step 12'!N16</f>
        <v>0</v>
      </c>
      <c r="J9" s="105">
        <f>'Step 12'!P10*'Step 12'!Q17*'Step 12'!N17</f>
        <v>0</v>
      </c>
      <c r="K9" s="105">
        <f>'Step 12'!P10*'Step 12'!Q18*'Step 12'!N18</f>
        <v>0</v>
      </c>
      <c r="L9" s="105">
        <f>'Step 12'!P10*'Step 12'!Q19*'Step 12'!N19</f>
        <v>0</v>
      </c>
      <c r="M9" s="105">
        <f>'Step 12'!P10*'Step 12'!Q20*'Step 12'!N20</f>
        <v>0</v>
      </c>
      <c r="N9" s="105">
        <f>'Step 12'!P10*'Step 12'!Q21*'Step 12'!N21</f>
        <v>0</v>
      </c>
      <c r="O9" s="105">
        <f>'Step 12'!P10*'Step 12'!Q22*'Step 12'!N22</f>
        <v>0</v>
      </c>
      <c r="P9" s="105">
        <f>'Step 12'!P10*'Step 12'!Q23*'Step 12'!N23</f>
        <v>0</v>
      </c>
      <c r="Q9" s="105">
        <f>'Step 12'!P10*'Step 12'!Q24*'Step 12'!N24</f>
        <v>0</v>
      </c>
      <c r="R9" s="105">
        <f>'Step 12'!P10*'Step 12'!Q25*'Step 12'!N25</f>
        <v>0</v>
      </c>
      <c r="S9" s="106">
        <f>'Step 12'!P10*'Step 12'!Q26*'Step 12'!N26</f>
        <v>0</v>
      </c>
    </row>
    <row r="10" spans="2:19" ht="6.75" customHeight="1" x14ac:dyDescent="0.35">
      <c r="B10" s="2"/>
      <c r="C10" s="2"/>
      <c r="D10" s="92"/>
      <c r="E10" s="93"/>
      <c r="F10" s="136"/>
      <c r="G10" s="137"/>
      <c r="H10" s="137"/>
      <c r="I10" s="138"/>
      <c r="J10" s="104"/>
      <c r="K10" s="104"/>
      <c r="L10" s="104"/>
      <c r="M10" s="104"/>
      <c r="N10" s="104"/>
      <c r="O10" s="104"/>
      <c r="P10" s="104"/>
      <c r="Q10" s="104"/>
      <c r="R10" s="104"/>
      <c r="S10" s="93"/>
    </row>
    <row r="11" spans="2:19" x14ac:dyDescent="0.35">
      <c r="B11" s="57" t="s">
        <v>182</v>
      </c>
      <c r="C11" s="57"/>
      <c r="D11" s="94">
        <f t="shared" ref="D11:S11" si="0">SUM(D7:D9)</f>
        <v>0</v>
      </c>
      <c r="E11" s="95">
        <f t="shared" si="0"/>
        <v>0</v>
      </c>
      <c r="F11" s="141">
        <f t="shared" si="0"/>
        <v>0</v>
      </c>
      <c r="G11" s="142">
        <f t="shared" si="0"/>
        <v>106.30980861244018</v>
      </c>
      <c r="H11" s="142">
        <f t="shared" si="0"/>
        <v>1643.7985944976076</v>
      </c>
      <c r="I11" s="143">
        <f t="shared" si="0"/>
        <v>4522.5403708133972</v>
      </c>
      <c r="J11" s="91">
        <f t="shared" si="0"/>
        <v>7677.4521531100472</v>
      </c>
      <c r="K11" s="91">
        <f t="shared" si="0"/>
        <v>12002.242822966506</v>
      </c>
      <c r="L11" s="91">
        <f t="shared" si="0"/>
        <v>14211.872009569379</v>
      </c>
      <c r="M11" s="91">
        <f t="shared" si="0"/>
        <v>15487.589712918661</v>
      </c>
      <c r="N11" s="91">
        <f t="shared" si="0"/>
        <v>15487.589712918661</v>
      </c>
      <c r="O11" s="91">
        <f t="shared" si="0"/>
        <v>18289.997009569379</v>
      </c>
      <c r="P11" s="91">
        <f t="shared" si="0"/>
        <v>15487.589712918661</v>
      </c>
      <c r="Q11" s="91">
        <f t="shared" si="0"/>
        <v>18289.997009569379</v>
      </c>
      <c r="R11" s="91">
        <f t="shared" si="0"/>
        <v>15487.589712918661</v>
      </c>
      <c r="S11" s="107">
        <f t="shared" si="0"/>
        <v>18289.997009569379</v>
      </c>
    </row>
    <row r="12" spans="2:19" ht="6.75" customHeight="1" x14ac:dyDescent="0.35">
      <c r="B12" s="3"/>
      <c r="C12" s="3"/>
      <c r="D12" s="92"/>
      <c r="E12" s="93"/>
      <c r="F12" s="136"/>
      <c r="G12" s="137"/>
      <c r="H12" s="137"/>
      <c r="I12" s="138"/>
      <c r="J12" s="104"/>
      <c r="K12" s="104"/>
      <c r="L12" s="104"/>
      <c r="M12" s="104"/>
      <c r="N12" s="104"/>
      <c r="O12" s="104"/>
      <c r="P12" s="104"/>
      <c r="Q12" s="104"/>
      <c r="R12" s="104"/>
      <c r="S12" s="93"/>
    </row>
    <row r="13" spans="2:19" ht="15.5" x14ac:dyDescent="0.35">
      <c r="B13" s="21" t="s">
        <v>91</v>
      </c>
      <c r="C13" s="21"/>
      <c r="D13" s="92"/>
      <c r="E13" s="93"/>
      <c r="F13" s="136"/>
      <c r="G13" s="137"/>
      <c r="H13" s="137"/>
      <c r="I13" s="138"/>
      <c r="J13" s="104"/>
      <c r="K13" s="104"/>
      <c r="L13" s="104"/>
      <c r="M13" s="104"/>
      <c r="N13" s="104"/>
      <c r="O13" s="104"/>
      <c r="P13" s="104"/>
      <c r="Q13" s="104"/>
      <c r="R13" s="104"/>
      <c r="S13" s="93"/>
    </row>
    <row r="14" spans="2:19" x14ac:dyDescent="0.35">
      <c r="B14" s="1" t="s">
        <v>92</v>
      </c>
      <c r="C14" s="1"/>
      <c r="D14" s="96"/>
      <c r="E14" s="97"/>
      <c r="F14" s="144"/>
      <c r="G14" s="145"/>
      <c r="H14" s="145"/>
      <c r="I14" s="146"/>
      <c r="J14" s="88"/>
      <c r="K14" s="88"/>
      <c r="L14" s="88"/>
      <c r="M14" s="88"/>
      <c r="N14" s="88"/>
      <c r="O14" s="88"/>
      <c r="P14" s="88"/>
      <c r="Q14" s="88"/>
      <c r="R14" s="88"/>
      <c r="S14" s="97"/>
    </row>
    <row r="15" spans="2:19" x14ac:dyDescent="0.35">
      <c r="B15" s="2" t="s">
        <v>104</v>
      </c>
      <c r="C15" s="2"/>
      <c r="D15" s="98">
        <f>(SUM('Steps 1-6'!$C$24:$C$26))*'Steps 1-6'!$C$11</f>
        <v>0</v>
      </c>
      <c r="E15" s="99">
        <f>D15*(1+'Steps 1-6'!$C$28)</f>
        <v>0</v>
      </c>
      <c r="F15" s="148">
        <f>E15*(1+'Steps 1-6'!$C$28)</f>
        <v>0</v>
      </c>
      <c r="G15" s="148">
        <f>F15*(1+'Steps 1-6'!$C$28)</f>
        <v>0</v>
      </c>
      <c r="H15" s="148">
        <f>G15*(1+'Steps 1-6'!$C$28)</f>
        <v>0</v>
      </c>
      <c r="I15" s="149">
        <f>H15*(1+'Steps 1-6'!$C$28)</f>
        <v>0</v>
      </c>
      <c r="J15" s="89">
        <f>I15*(1+'Steps 1-6'!$C$28)</f>
        <v>0</v>
      </c>
      <c r="K15" s="89">
        <f>J15*(1+'Steps 1-6'!$C$28)</f>
        <v>0</v>
      </c>
      <c r="L15" s="89">
        <f>K15*(1+'Steps 1-6'!$C$28)</f>
        <v>0</v>
      </c>
      <c r="M15" s="89">
        <f>L15*(1+'Steps 1-6'!$C$28)</f>
        <v>0</v>
      </c>
      <c r="N15" s="89">
        <f>M15*(1+'Steps 1-6'!$C$28)</f>
        <v>0</v>
      </c>
      <c r="O15" s="89">
        <f>N15*(1+'Steps 1-6'!$C$28)</f>
        <v>0</v>
      </c>
      <c r="P15" s="89">
        <f>O15*(1+'Steps 1-6'!$C$28)</f>
        <v>0</v>
      </c>
      <c r="Q15" s="89">
        <f>P15*(1+'Steps 1-6'!$C$28)</f>
        <v>0</v>
      </c>
      <c r="R15" s="89">
        <f>Q15*(1+'Steps 1-6'!$C$28)</f>
        <v>0</v>
      </c>
      <c r="S15" s="99">
        <f>R15*(1+'Steps 1-6'!$C$28)</f>
        <v>0</v>
      </c>
    </row>
    <row r="16" spans="2:19" x14ac:dyDescent="0.35">
      <c r="B16" s="2" t="s">
        <v>105</v>
      </c>
      <c r="C16" s="2"/>
      <c r="D16" s="98">
        <f>'Steps 1-6'!$C$31*'Steps 1-6'!$C$11</f>
        <v>206.61157024793386</v>
      </c>
      <c r="E16" s="99">
        <f>D16*(1+'Steps 1-6'!$C$32)</f>
        <v>210.74380165289253</v>
      </c>
      <c r="F16" s="148">
        <f>E16*(1+'Steps 1-6'!$C$32)</f>
        <v>214.95867768595039</v>
      </c>
      <c r="G16" s="148">
        <f>F16*(1+'Steps 1-6'!$C$32)</f>
        <v>219.25785123966941</v>
      </c>
      <c r="H16" s="148">
        <f>G16*(1+'Steps 1-6'!$C$32)</f>
        <v>223.64300826446279</v>
      </c>
      <c r="I16" s="149">
        <f>H16*(1+'Steps 1-6'!$C$32)</f>
        <v>228.11586842975206</v>
      </c>
      <c r="J16" s="89">
        <f>I16*(1+'Steps 1-6'!$C$32)</f>
        <v>232.6781857983471</v>
      </c>
      <c r="K16" s="89">
        <f>J16*(1+'Steps 1-6'!$C$32)</f>
        <v>237.33174951431405</v>
      </c>
      <c r="L16" s="89">
        <f>K16*(1+'Steps 1-6'!$C$32)</f>
        <v>242.07838450460034</v>
      </c>
      <c r="M16" s="89">
        <f>L16*(1+'Steps 1-6'!$C$32)</f>
        <v>246.91995219469234</v>
      </c>
      <c r="N16" s="89">
        <f>M16*(1+'Steps 1-6'!$C$32)</f>
        <v>251.85835123858618</v>
      </c>
      <c r="O16" s="89">
        <f>N16*(1+'Steps 1-6'!$C$32)</f>
        <v>256.89551826335793</v>
      </c>
      <c r="P16" s="89">
        <f>O16*(1+'Steps 1-6'!$C$32)</f>
        <v>262.03342862862507</v>
      </c>
      <c r="Q16" s="89">
        <f>P16*(1+'Steps 1-6'!$C$32)</f>
        <v>267.27409720119761</v>
      </c>
      <c r="R16" s="89">
        <f>Q16*(1+'Steps 1-6'!$C$32)</f>
        <v>272.61957914522156</v>
      </c>
      <c r="S16" s="99">
        <f>R16*(1+'Steps 1-6'!$C$32)</f>
        <v>278.07197072812602</v>
      </c>
    </row>
    <row r="17" spans="2:19" x14ac:dyDescent="0.35">
      <c r="B17" s="1" t="s">
        <v>94</v>
      </c>
      <c r="C17" s="1"/>
      <c r="D17" s="98"/>
      <c r="E17" s="99"/>
      <c r="F17" s="147"/>
      <c r="G17" s="148"/>
      <c r="H17" s="148"/>
      <c r="I17" s="149"/>
      <c r="J17" s="89"/>
      <c r="K17" s="89"/>
      <c r="L17" s="89"/>
      <c r="M17" s="89"/>
      <c r="N17" s="89"/>
      <c r="O17" s="89"/>
      <c r="P17" s="89"/>
      <c r="Q17" s="89"/>
      <c r="R17" s="89"/>
      <c r="S17" s="99"/>
    </row>
    <row r="18" spans="2:19" x14ac:dyDescent="0.35">
      <c r="B18" s="2" t="s">
        <v>93</v>
      </c>
      <c r="C18" s="2"/>
      <c r="D18" s="98">
        <v>0</v>
      </c>
      <c r="E18" s="99">
        <f>SUM('Steps 1-6'!I6:I10)</f>
        <v>13000</v>
      </c>
      <c r="F18" s="147">
        <f>'Step 9'!H30*'Step 9'!H31</f>
        <v>431.25</v>
      </c>
      <c r="G18" s="148">
        <v>0</v>
      </c>
      <c r="H18" s="148">
        <v>0</v>
      </c>
      <c r="I18" s="149">
        <v>0</v>
      </c>
      <c r="J18" s="89">
        <v>0</v>
      </c>
      <c r="K18" s="89">
        <v>0</v>
      </c>
      <c r="L18" s="89">
        <f>'Step 11'!H13*'Step 11'!H14</f>
        <v>0</v>
      </c>
      <c r="M18" s="89">
        <v>0</v>
      </c>
      <c r="N18" s="89">
        <v>0</v>
      </c>
      <c r="O18" s="89">
        <v>0</v>
      </c>
      <c r="P18" s="89">
        <v>0</v>
      </c>
      <c r="Q18" s="89">
        <v>0</v>
      </c>
      <c r="R18" s="89">
        <v>0</v>
      </c>
      <c r="S18" s="99">
        <v>0</v>
      </c>
    </row>
    <row r="19" spans="2:19" x14ac:dyDescent="0.35">
      <c r="B19" s="2" t="s">
        <v>95</v>
      </c>
      <c r="C19" s="2"/>
      <c r="D19" s="98">
        <v>0</v>
      </c>
      <c r="E19" s="99">
        <f>'Steps 1-6'!I37</f>
        <v>3661.71</v>
      </c>
      <c r="F19" s="147">
        <v>0</v>
      </c>
      <c r="G19" s="148">
        <v>0</v>
      </c>
      <c r="H19" s="148">
        <v>0</v>
      </c>
      <c r="I19" s="149">
        <v>0</v>
      </c>
      <c r="J19" s="89">
        <v>0</v>
      </c>
      <c r="K19" s="89">
        <v>0</v>
      </c>
      <c r="L19" s="89">
        <v>0</v>
      </c>
      <c r="M19" s="89">
        <v>0</v>
      </c>
      <c r="N19" s="89">
        <v>0</v>
      </c>
      <c r="O19" s="89">
        <v>0</v>
      </c>
      <c r="P19" s="89">
        <v>0</v>
      </c>
      <c r="Q19" s="89">
        <v>0</v>
      </c>
      <c r="R19" s="89">
        <v>0</v>
      </c>
      <c r="S19" s="99">
        <v>0</v>
      </c>
    </row>
    <row r="20" spans="2:19" x14ac:dyDescent="0.35">
      <c r="B20" s="2" t="s">
        <v>215</v>
      </c>
      <c r="C20" s="2"/>
      <c r="D20" s="98"/>
      <c r="E20" s="99">
        <f>'Steps 1-6'!N17+'Steps 1-6'!N27+'Steps 1-6'!N33</f>
        <v>2016.4752715789473</v>
      </c>
      <c r="F20" s="147"/>
      <c r="G20" s="148"/>
      <c r="H20" s="148"/>
      <c r="I20" s="149"/>
      <c r="J20" s="89"/>
      <c r="K20" s="89"/>
      <c r="L20" s="89"/>
      <c r="M20" s="89"/>
      <c r="N20" s="89"/>
      <c r="O20" s="89"/>
      <c r="P20" s="89"/>
      <c r="Q20" s="89"/>
      <c r="R20" s="89"/>
      <c r="S20" s="99"/>
    </row>
    <row r="21" spans="2:19" x14ac:dyDescent="0.35">
      <c r="B21" s="2" t="s">
        <v>96</v>
      </c>
      <c r="C21" s="2"/>
      <c r="D21" s="98">
        <v>0</v>
      </c>
      <c r="E21" s="99">
        <f>'Steps 1-6'!H21</f>
        <v>5500</v>
      </c>
      <c r="F21" s="147">
        <v>0</v>
      </c>
      <c r="G21" s="148">
        <v>0</v>
      </c>
      <c r="H21" s="148">
        <v>0</v>
      </c>
      <c r="I21" s="149">
        <v>0</v>
      </c>
      <c r="J21" s="89">
        <v>0</v>
      </c>
      <c r="K21" s="89">
        <v>0</v>
      </c>
      <c r="L21" s="89">
        <v>0</v>
      </c>
      <c r="M21" s="89">
        <v>0</v>
      </c>
      <c r="N21" s="89">
        <v>0</v>
      </c>
      <c r="O21" s="89">
        <v>0</v>
      </c>
      <c r="P21" s="89">
        <v>0</v>
      </c>
      <c r="Q21" s="89">
        <v>0</v>
      </c>
      <c r="R21" s="89">
        <v>0</v>
      </c>
      <c r="S21" s="99">
        <v>0</v>
      </c>
    </row>
    <row r="22" spans="2:19" x14ac:dyDescent="0.35">
      <c r="B22" s="2" t="s">
        <v>97</v>
      </c>
      <c r="C22" s="2"/>
      <c r="D22" s="98">
        <f>'Steps 7-8'!E41+'Steps 7-8'!E42+'Steps 7-8'!E43</f>
        <v>499.58677685950408</v>
      </c>
      <c r="E22" s="99">
        <v>0</v>
      </c>
      <c r="F22" s="147">
        <f>SUM('Step 9'!J20:J22)</f>
        <v>142.14876033057848</v>
      </c>
      <c r="G22" s="148">
        <f>SUM('Step 9'!$J$20:$J$22)</f>
        <v>142.14876033057848</v>
      </c>
      <c r="H22" s="148">
        <f>SUM('Step 9'!$J$20:$J$22)</f>
        <v>142.14876033057848</v>
      </c>
      <c r="I22" s="149">
        <f>SUM('Step 9'!$J$20:$J$22)</f>
        <v>142.14876033057848</v>
      </c>
      <c r="J22" s="89">
        <f>SUM('Step 10'!$J$20:$J$23)</f>
        <v>147.1074380165289</v>
      </c>
      <c r="K22" s="89">
        <f>SUM('Step 10'!$J$20:$J$23)</f>
        <v>147.1074380165289</v>
      </c>
      <c r="L22" s="89">
        <f>SUM('Step 10'!$J$20:$J$23)</f>
        <v>147.1074380165289</v>
      </c>
      <c r="M22" s="89">
        <f>SUM('Step 10'!$J$20:$J$23)</f>
        <v>147.1074380165289</v>
      </c>
      <c r="N22" s="89">
        <f>SUM('Step 10'!$J$20:$J$23)</f>
        <v>147.1074380165289</v>
      </c>
      <c r="O22" s="89">
        <f>SUM('Step 10'!$J$20:$J$23)</f>
        <v>147.1074380165289</v>
      </c>
      <c r="P22" s="89">
        <f>SUM('Step 10'!$J$20:$J$23)</f>
        <v>147.1074380165289</v>
      </c>
      <c r="Q22" s="89">
        <f>SUM('Step 10'!$J$20:$J$23)</f>
        <v>147.1074380165289</v>
      </c>
      <c r="R22" s="89">
        <f>SUM('Step 10'!$J$20:$J$23)</f>
        <v>147.1074380165289</v>
      </c>
      <c r="S22" s="99">
        <f>SUM('Step 10'!$J$20:$J$23)</f>
        <v>147.1074380165289</v>
      </c>
    </row>
    <row r="23" spans="2:19" x14ac:dyDescent="0.35">
      <c r="B23" s="2" t="s">
        <v>307</v>
      </c>
      <c r="C23" s="2"/>
      <c r="D23" s="98">
        <v>0</v>
      </c>
      <c r="E23" s="99">
        <f>SUM('Steps 7-8'!E36:E38)</f>
        <v>89</v>
      </c>
      <c r="F23" s="147">
        <f>SUM('Step 9'!J14:J17)</f>
        <v>29</v>
      </c>
      <c r="G23" s="148">
        <f>SUM('Step 9'!J14:J17)</f>
        <v>29</v>
      </c>
      <c r="H23" s="148">
        <f>SUM('Step 9'!$J$14:$J$17)</f>
        <v>29</v>
      </c>
      <c r="I23" s="149">
        <f>SUM('Step 9'!$J$14:$J$17)</f>
        <v>29</v>
      </c>
      <c r="J23" s="89">
        <f>SUM('Step 10'!$J$14:$J$17)</f>
        <v>0</v>
      </c>
      <c r="K23" s="89">
        <f>SUM('Step 10'!$J$14:$J$17)</f>
        <v>0</v>
      </c>
      <c r="L23" s="89">
        <f>SUM('Step 10'!$J$14:$J$17)</f>
        <v>0</v>
      </c>
      <c r="M23" s="89">
        <f>SUM('Step 10'!$J$14:$J$17)</f>
        <v>0</v>
      </c>
      <c r="N23" s="89">
        <f>SUM('Step 10'!$J$14:$J$17)</f>
        <v>0</v>
      </c>
      <c r="O23" s="89">
        <f>SUM('Step 10'!$J$14:$J$17)</f>
        <v>0</v>
      </c>
      <c r="P23" s="89">
        <f>SUM('Step 10'!$J$14:$J$17)</f>
        <v>0</v>
      </c>
      <c r="Q23" s="89">
        <f>SUM('Step 10'!$J$14:$J$17)</f>
        <v>0</v>
      </c>
      <c r="R23" s="89">
        <f>SUM('Step 10'!$J$14:$J$17)</f>
        <v>0</v>
      </c>
      <c r="S23" s="89">
        <f>SUM('Step 10'!$J$14:$J$17)</f>
        <v>0</v>
      </c>
    </row>
    <row r="24" spans="2:19" x14ac:dyDescent="0.35">
      <c r="B24" s="2" t="s">
        <v>113</v>
      </c>
      <c r="C24" s="2"/>
      <c r="D24" s="98">
        <v>0</v>
      </c>
      <c r="E24" s="99">
        <f>'Steps 7-8'!E30</f>
        <v>825</v>
      </c>
      <c r="F24" s="147">
        <f>'Step 9'!J11</f>
        <v>0</v>
      </c>
      <c r="G24" s="148">
        <f>'Step 9'!J11</f>
        <v>0</v>
      </c>
      <c r="H24" s="148">
        <f>'Step 9'!J11</f>
        <v>0</v>
      </c>
      <c r="I24" s="149">
        <f>'Step 9'!J11</f>
        <v>0</v>
      </c>
      <c r="J24" s="89">
        <f>'Step 10'!J11</f>
        <v>0</v>
      </c>
      <c r="K24" s="89">
        <f>'Step 10'!J11</f>
        <v>0</v>
      </c>
      <c r="L24" s="89">
        <f>'Step 10'!J11</f>
        <v>0</v>
      </c>
      <c r="M24" s="89">
        <f>'Step 10'!$J$11</f>
        <v>0</v>
      </c>
      <c r="N24" s="89">
        <f>'Step 10'!$J$11</f>
        <v>0</v>
      </c>
      <c r="O24" s="89">
        <f>'Step 10'!$J$11</f>
        <v>0</v>
      </c>
      <c r="P24" s="89">
        <f>'Step 10'!$J$11</f>
        <v>0</v>
      </c>
      <c r="Q24" s="89">
        <f>'Step 10'!$J$11</f>
        <v>0</v>
      </c>
      <c r="R24" s="89">
        <f>'Step 10'!$J$11</f>
        <v>0</v>
      </c>
      <c r="S24" s="99">
        <f>'Step 10'!$J$11</f>
        <v>0</v>
      </c>
    </row>
    <row r="25" spans="2:19" x14ac:dyDescent="0.35">
      <c r="B25" s="2" t="s">
        <v>114</v>
      </c>
      <c r="C25" s="2"/>
      <c r="D25" s="98"/>
      <c r="E25" s="99">
        <f>'Steps 7-8'!E33</f>
        <v>0</v>
      </c>
      <c r="F25" s="147"/>
      <c r="G25" s="148"/>
      <c r="H25" s="148"/>
      <c r="I25" s="149"/>
      <c r="J25" s="89"/>
      <c r="K25" s="89"/>
      <c r="L25" s="89"/>
      <c r="M25" s="89"/>
      <c r="N25" s="89"/>
      <c r="O25" s="89"/>
      <c r="P25" s="89"/>
      <c r="Q25" s="89"/>
      <c r="R25" s="89"/>
      <c r="S25" s="99"/>
    </row>
    <row r="26" spans="2:19" x14ac:dyDescent="0.35">
      <c r="B26" s="3" t="s">
        <v>107</v>
      </c>
      <c r="C26" s="3"/>
      <c r="D26" s="100">
        <f t="shared" ref="D26:I26" si="1">SUM(D18:D25)</f>
        <v>499.58677685950408</v>
      </c>
      <c r="E26" s="101">
        <f t="shared" si="1"/>
        <v>25092.185271578946</v>
      </c>
      <c r="F26" s="150">
        <f t="shared" si="1"/>
        <v>602.39876033057851</v>
      </c>
      <c r="G26" s="151">
        <f t="shared" si="1"/>
        <v>171.14876033057848</v>
      </c>
      <c r="H26" s="151">
        <f t="shared" si="1"/>
        <v>171.14876033057848</v>
      </c>
      <c r="I26" s="152">
        <f t="shared" si="1"/>
        <v>171.14876033057848</v>
      </c>
      <c r="J26" s="90">
        <f t="shared" ref="J26:R26" si="2">SUM(J18:J24)</f>
        <v>147.1074380165289</v>
      </c>
      <c r="K26" s="90">
        <f>SUM(K18:K25)</f>
        <v>147.1074380165289</v>
      </c>
      <c r="L26" s="90">
        <f>SUM(L18:L25)</f>
        <v>147.1074380165289</v>
      </c>
      <c r="M26" s="90">
        <f>SUM(M18:M25)</f>
        <v>147.1074380165289</v>
      </c>
      <c r="N26" s="90">
        <f t="shared" si="2"/>
        <v>147.1074380165289</v>
      </c>
      <c r="O26" s="90">
        <f t="shared" si="2"/>
        <v>147.1074380165289</v>
      </c>
      <c r="P26" s="90">
        <f t="shared" si="2"/>
        <v>147.1074380165289</v>
      </c>
      <c r="Q26" s="90">
        <f t="shared" si="2"/>
        <v>147.1074380165289</v>
      </c>
      <c r="R26" s="90">
        <f t="shared" si="2"/>
        <v>147.1074380165289</v>
      </c>
      <c r="S26" s="101">
        <f>SUM(S18:S25)</f>
        <v>147.1074380165289</v>
      </c>
    </row>
    <row r="27" spans="2:19" ht="7.5" customHeight="1" x14ac:dyDescent="0.35">
      <c r="B27" s="3"/>
      <c r="C27" s="3"/>
      <c r="D27" s="100"/>
      <c r="E27" s="101"/>
      <c r="F27" s="150"/>
      <c r="G27" s="151"/>
      <c r="H27" s="151"/>
      <c r="I27" s="152"/>
      <c r="J27" s="90"/>
      <c r="K27" s="90"/>
      <c r="L27" s="90"/>
      <c r="M27" s="90"/>
      <c r="N27" s="90"/>
      <c r="O27" s="90"/>
      <c r="P27" s="90"/>
      <c r="Q27" s="90"/>
      <c r="R27" s="90"/>
      <c r="S27" s="101"/>
    </row>
    <row r="28" spans="2:19" x14ac:dyDescent="0.35">
      <c r="B28" s="1" t="s">
        <v>229</v>
      </c>
      <c r="C28" s="1"/>
      <c r="D28" s="98">
        <f>SUM('Steps 7-8'!E12:E16)</f>
        <v>1200</v>
      </c>
      <c r="E28" s="99">
        <f>SUM('Steps 7-8'!J12:J18)</f>
        <v>75</v>
      </c>
      <c r="F28" s="147">
        <f>SUM('Step 9'!E11:E15)</f>
        <v>300</v>
      </c>
      <c r="G28" s="148">
        <f>F28</f>
        <v>300</v>
      </c>
      <c r="H28" s="148">
        <f>G28</f>
        <v>300</v>
      </c>
      <c r="I28" s="149">
        <f>H28</f>
        <v>300</v>
      </c>
      <c r="J28" s="89">
        <f>SUM('Step 10'!E11:E13)</f>
        <v>225</v>
      </c>
      <c r="K28" s="89">
        <f>J28</f>
        <v>225</v>
      </c>
      <c r="L28" s="89">
        <f>K28</f>
        <v>225</v>
      </c>
      <c r="M28" s="89">
        <f>K28</f>
        <v>225</v>
      </c>
      <c r="N28" s="89">
        <f t="shared" ref="N28:S28" si="3">M28</f>
        <v>225</v>
      </c>
      <c r="O28" s="89">
        <f t="shared" si="3"/>
        <v>225</v>
      </c>
      <c r="P28" s="89">
        <f t="shared" si="3"/>
        <v>225</v>
      </c>
      <c r="Q28" s="89">
        <f t="shared" si="3"/>
        <v>225</v>
      </c>
      <c r="R28" s="89">
        <f t="shared" si="3"/>
        <v>225</v>
      </c>
      <c r="S28" s="99">
        <f t="shared" si="3"/>
        <v>225</v>
      </c>
    </row>
    <row r="29" spans="2:19" x14ac:dyDescent="0.35">
      <c r="B29" s="1"/>
      <c r="C29" s="1"/>
      <c r="D29" s="98"/>
      <c r="E29" s="99"/>
      <c r="F29" s="147"/>
      <c r="G29" s="148"/>
      <c r="H29" s="148"/>
      <c r="I29" s="149"/>
      <c r="J29" s="89"/>
      <c r="K29" s="89"/>
      <c r="L29" s="89"/>
      <c r="M29" s="89"/>
      <c r="N29" s="89"/>
      <c r="O29" s="89"/>
      <c r="P29" s="89"/>
      <c r="Q29" s="89"/>
      <c r="R29" s="89"/>
      <c r="S29" s="99"/>
    </row>
    <row r="30" spans="2:19" x14ac:dyDescent="0.35">
      <c r="B30" s="1" t="s">
        <v>115</v>
      </c>
      <c r="C30" s="1"/>
      <c r="D30" s="98">
        <f>SUM('Steps 7-8'!E22)</f>
        <v>0</v>
      </c>
      <c r="E30" s="99">
        <f>SUM('Steps 7-8'!J24:J31)</f>
        <v>3105</v>
      </c>
      <c r="F30" s="147">
        <f>SUM('Step 9'!E21:E24)</f>
        <v>135</v>
      </c>
      <c r="G30" s="148">
        <f>F30</f>
        <v>135</v>
      </c>
      <c r="H30" s="148">
        <f>G30</f>
        <v>135</v>
      </c>
      <c r="I30" s="149">
        <f>H30</f>
        <v>135</v>
      </c>
      <c r="J30" s="89">
        <f>SUM('Step 10'!E17:E20)</f>
        <v>67.5</v>
      </c>
      <c r="K30" s="89">
        <f>J30</f>
        <v>67.5</v>
      </c>
      <c r="L30" s="89">
        <f>K30</f>
        <v>67.5</v>
      </c>
      <c r="M30" s="89">
        <f>K30</f>
        <v>67.5</v>
      </c>
      <c r="N30" s="89">
        <f t="shared" ref="N30:S30" si="4">M30</f>
        <v>67.5</v>
      </c>
      <c r="O30" s="89">
        <f t="shared" si="4"/>
        <v>67.5</v>
      </c>
      <c r="P30" s="89">
        <f t="shared" si="4"/>
        <v>67.5</v>
      </c>
      <c r="Q30" s="89">
        <f t="shared" si="4"/>
        <v>67.5</v>
      </c>
      <c r="R30" s="89">
        <f t="shared" si="4"/>
        <v>67.5</v>
      </c>
      <c r="S30" s="99">
        <f t="shared" si="4"/>
        <v>67.5</v>
      </c>
    </row>
    <row r="31" spans="2:19" x14ac:dyDescent="0.35">
      <c r="B31" s="3" t="s">
        <v>358</v>
      </c>
      <c r="C31" s="3"/>
      <c r="D31" s="98"/>
      <c r="E31" s="99"/>
      <c r="F31" s="147"/>
      <c r="G31" s="148">
        <f>'Step 13'!D15</f>
        <v>81.776775855723216</v>
      </c>
      <c r="H31" s="148">
        <f>'Step 13'!D16</f>
        <v>261.84240792321714</v>
      </c>
      <c r="I31" s="149">
        <f>'Step 13'!D17</f>
        <v>720.40021483633325</v>
      </c>
      <c r="J31" s="89">
        <f>'Step 13'!D18</f>
        <v>1222.949432621959</v>
      </c>
      <c r="K31" s="89">
        <f>'Step 13'!D19</f>
        <v>1911.8498894964684</v>
      </c>
      <c r="L31" s="89">
        <f>'Step 13'!D20</f>
        <v>2263.8240478722059</v>
      </c>
      <c r="M31" s="89">
        <f>'Step 13'!D21</f>
        <v>2467.0344633047266</v>
      </c>
      <c r="N31" s="89">
        <f>'Step 13'!D22</f>
        <v>2467.0344633047266</v>
      </c>
      <c r="O31" s="89">
        <f>'Step 13'!D23</f>
        <v>2913.4328706235287</v>
      </c>
      <c r="P31" s="89">
        <f>'Step 13'!D24</f>
        <v>2467.0344633047266</v>
      </c>
      <c r="Q31" s="89">
        <f>'Step 13'!D25</f>
        <v>2913.4328706235287</v>
      </c>
      <c r="R31" s="89">
        <f>'Step 13'!D26</f>
        <v>2467.0344633047266</v>
      </c>
      <c r="S31" s="99">
        <f>'Step 13'!D27</f>
        <v>2913.4328706235287</v>
      </c>
    </row>
    <row r="32" spans="2:19" x14ac:dyDescent="0.35">
      <c r="B32" s="3" t="s">
        <v>133</v>
      </c>
      <c r="C32" s="3"/>
      <c r="D32" s="98"/>
      <c r="E32" s="99"/>
      <c r="F32" s="147"/>
      <c r="G32" s="148">
        <f>'Step 13'!I13</f>
        <v>0</v>
      </c>
      <c r="H32" s="148">
        <f>'Step 13'!I14</f>
        <v>0</v>
      </c>
      <c r="I32" s="149">
        <f>'Step 13'!I15</f>
        <v>0</v>
      </c>
      <c r="J32" s="89">
        <f>'Step 13'!I16</f>
        <v>0</v>
      </c>
      <c r="K32" s="89">
        <f>'Step 13'!I17</f>
        <v>0</v>
      </c>
      <c r="L32" s="89">
        <f>'Step 13'!I18</f>
        <v>0</v>
      </c>
      <c r="M32" s="89">
        <f>'Step 13'!I20</f>
        <v>0</v>
      </c>
      <c r="N32" s="89">
        <f>'Step 13'!I21</f>
        <v>0</v>
      </c>
      <c r="O32" s="89">
        <f>'Step 13'!I21</f>
        <v>0</v>
      </c>
      <c r="P32" s="89">
        <f>'Step 13'!I22</f>
        <v>0</v>
      </c>
      <c r="Q32" s="89">
        <f>'Step 13'!I23</f>
        <v>0</v>
      </c>
      <c r="R32" s="89">
        <f>'Step 13'!I24</f>
        <v>0</v>
      </c>
      <c r="S32" s="99">
        <f>'Step 13'!I25</f>
        <v>0</v>
      </c>
    </row>
    <row r="33" spans="2:19" ht="9" customHeight="1" x14ac:dyDescent="0.35">
      <c r="D33" s="98"/>
      <c r="E33" s="99"/>
      <c r="F33" s="147"/>
      <c r="G33" s="148"/>
      <c r="H33" s="148"/>
      <c r="I33" s="149"/>
      <c r="J33" s="89"/>
      <c r="K33" s="89"/>
      <c r="L33" s="89"/>
      <c r="M33" s="89"/>
      <c r="N33" s="89"/>
      <c r="O33" s="89"/>
      <c r="P33" s="89"/>
      <c r="Q33" s="89"/>
      <c r="R33" s="89"/>
      <c r="S33" s="99"/>
    </row>
    <row r="34" spans="2:19" ht="15" thickBot="1" x14ac:dyDescent="0.4">
      <c r="B34" s="1" t="s">
        <v>98</v>
      </c>
      <c r="C34" s="1"/>
      <c r="D34" s="109">
        <f t="shared" ref="D34:S34" si="5">D15+D16+D26+D28+D30+D31</f>
        <v>1906.1983471074379</v>
      </c>
      <c r="E34" s="110">
        <f t="shared" si="5"/>
        <v>28482.92907323184</v>
      </c>
      <c r="F34" s="153">
        <f t="shared" si="5"/>
        <v>1252.3574380165289</v>
      </c>
      <c r="G34" s="154">
        <f t="shared" si="5"/>
        <v>907.18338742597109</v>
      </c>
      <c r="H34" s="154">
        <f t="shared" si="5"/>
        <v>1091.6341765182583</v>
      </c>
      <c r="I34" s="155">
        <f t="shared" si="5"/>
        <v>1554.6648435966638</v>
      </c>
      <c r="J34" s="111">
        <f t="shared" si="5"/>
        <v>1895.2350564368348</v>
      </c>
      <c r="K34" s="111">
        <f t="shared" si="5"/>
        <v>2588.7890770273116</v>
      </c>
      <c r="L34" s="111">
        <f t="shared" si="5"/>
        <v>2945.5098703933354</v>
      </c>
      <c r="M34" s="111">
        <f t="shared" si="5"/>
        <v>3153.5618535159479</v>
      </c>
      <c r="N34" s="111">
        <f t="shared" si="5"/>
        <v>3158.5002525598416</v>
      </c>
      <c r="O34" s="111">
        <f t="shared" si="5"/>
        <v>3609.9358269034155</v>
      </c>
      <c r="P34" s="111">
        <f t="shared" si="5"/>
        <v>3168.6753299498805</v>
      </c>
      <c r="Q34" s="111">
        <f t="shared" si="5"/>
        <v>3620.3144058412554</v>
      </c>
      <c r="R34" s="111">
        <f t="shared" si="5"/>
        <v>3179.2614804664772</v>
      </c>
      <c r="S34" s="110">
        <f t="shared" si="5"/>
        <v>3631.1122793681834</v>
      </c>
    </row>
    <row r="35" spans="2:19" ht="15" thickTop="1" x14ac:dyDescent="0.35">
      <c r="D35" s="92"/>
      <c r="E35" s="93"/>
      <c r="F35" s="136"/>
      <c r="G35" s="137"/>
      <c r="H35" s="137"/>
      <c r="I35" s="138"/>
      <c r="J35" s="104"/>
      <c r="K35" s="104"/>
      <c r="L35" s="104"/>
      <c r="M35" s="104"/>
      <c r="N35" s="104"/>
      <c r="O35" s="104"/>
      <c r="P35" s="104"/>
      <c r="Q35" s="104"/>
      <c r="R35" s="104"/>
      <c r="S35" s="93"/>
    </row>
    <row r="36" spans="2:19" x14ac:dyDescent="0.35">
      <c r="B36" s="1" t="s">
        <v>372</v>
      </c>
      <c r="C36" s="1"/>
      <c r="D36" s="158">
        <f t="shared" ref="D36:S36" si="6">D11-D34</f>
        <v>-1906.1983471074379</v>
      </c>
      <c r="E36" s="159">
        <f t="shared" si="6"/>
        <v>-28482.92907323184</v>
      </c>
      <c r="F36" s="160">
        <f t="shared" si="6"/>
        <v>-1252.3574380165289</v>
      </c>
      <c r="G36" s="161">
        <f t="shared" si="6"/>
        <v>-800.87357881353091</v>
      </c>
      <c r="H36" s="161">
        <f t="shared" si="6"/>
        <v>552.16441797934931</v>
      </c>
      <c r="I36" s="162">
        <f t="shared" si="6"/>
        <v>2967.8755272167336</v>
      </c>
      <c r="J36" s="163">
        <f t="shared" si="6"/>
        <v>5782.2170966732119</v>
      </c>
      <c r="K36" s="163">
        <f t="shared" si="6"/>
        <v>9413.4537459391941</v>
      </c>
      <c r="L36" s="163">
        <f t="shared" si="6"/>
        <v>11266.362139176043</v>
      </c>
      <c r="M36" s="163">
        <f t="shared" si="6"/>
        <v>12334.027859402713</v>
      </c>
      <c r="N36" s="163">
        <f t="shared" si="6"/>
        <v>12329.08946035882</v>
      </c>
      <c r="O36" s="163">
        <f t="shared" si="6"/>
        <v>14680.061182665962</v>
      </c>
      <c r="P36" s="163">
        <f t="shared" si="6"/>
        <v>12318.914382968782</v>
      </c>
      <c r="Q36" s="163">
        <f t="shared" si="6"/>
        <v>14669.682603728124</v>
      </c>
      <c r="R36" s="163">
        <f t="shared" si="6"/>
        <v>12308.328232452184</v>
      </c>
      <c r="S36" s="159">
        <f t="shared" si="6"/>
        <v>14658.884730201196</v>
      </c>
    </row>
    <row r="37" spans="2:19" x14ac:dyDescent="0.35">
      <c r="B37" s="1" t="s">
        <v>373</v>
      </c>
      <c r="C37" s="1"/>
      <c r="D37" s="102">
        <f>D36</f>
        <v>-1906.1983471074379</v>
      </c>
      <c r="E37" s="108">
        <f>D37+E36</f>
        <v>-30389.127420339279</v>
      </c>
      <c r="F37" s="135">
        <f t="shared" ref="F37:S37" si="7">E37+F36</f>
        <v>-31641.484858355809</v>
      </c>
      <c r="G37" s="156">
        <f t="shared" si="7"/>
        <v>-32442.35843716934</v>
      </c>
      <c r="H37" s="156">
        <f t="shared" si="7"/>
        <v>-31890.194019189992</v>
      </c>
      <c r="I37" s="157">
        <f t="shared" si="7"/>
        <v>-28922.318491973259</v>
      </c>
      <c r="J37" s="108">
        <f t="shared" si="7"/>
        <v>-23140.101395300047</v>
      </c>
      <c r="K37" s="108">
        <f t="shared" si="7"/>
        <v>-13726.647649360853</v>
      </c>
      <c r="L37" s="108">
        <f t="shared" si="7"/>
        <v>-2460.2855101848108</v>
      </c>
      <c r="M37" s="108">
        <f t="shared" si="7"/>
        <v>9873.7423492179023</v>
      </c>
      <c r="N37" s="108">
        <f t="shared" si="7"/>
        <v>22202.831809576724</v>
      </c>
      <c r="O37" s="108">
        <f t="shared" si="7"/>
        <v>36882.892992242691</v>
      </c>
      <c r="P37" s="108">
        <f t="shared" si="7"/>
        <v>49201.807375211472</v>
      </c>
      <c r="Q37" s="108">
        <f t="shared" si="7"/>
        <v>63871.4899789396</v>
      </c>
      <c r="R37" s="108">
        <f t="shared" si="7"/>
        <v>76179.818211391786</v>
      </c>
      <c r="S37" s="103">
        <f t="shared" si="7"/>
        <v>90838.702941592986</v>
      </c>
    </row>
    <row r="39" spans="2:19" x14ac:dyDescent="0.35">
      <c r="B39" s="1" t="s">
        <v>374</v>
      </c>
      <c r="E39" s="114">
        <f>'alley-cropping'!J9</f>
        <v>565.6847107438017</v>
      </c>
      <c r="F39" s="114">
        <f>'alley-cropping'!J10</f>
        <v>565.6847107438017</v>
      </c>
      <c r="G39" s="114">
        <f>'alley-cropping'!J11</f>
        <v>565.6847107438017</v>
      </c>
      <c r="H39" s="114">
        <f>'alley-cropping'!J12</f>
        <v>565.6847107438017</v>
      </c>
      <c r="I39" s="114">
        <f>'alley-cropping'!J13</f>
        <v>496.81418732782367</v>
      </c>
      <c r="J39" s="114">
        <f>'alley-cropping'!J14</f>
        <v>462.37892561983472</v>
      </c>
      <c r="K39" s="114">
        <f>'alley-cropping'!J15</f>
        <v>427.94366391184576</v>
      </c>
      <c r="L39" s="114">
        <f>'alley-cropping'!J16</f>
        <v>359.07314049586785</v>
      </c>
      <c r="M39" s="114">
        <f>'alley-cropping'!J17</f>
        <v>-321.33749999999998</v>
      </c>
      <c r="N39" s="114">
        <f>'alley-cropping'!J18</f>
        <v>-321.33749999999998</v>
      </c>
      <c r="O39" s="114">
        <f>'alley-cropping'!J19</f>
        <v>-54.15</v>
      </c>
      <c r="P39" s="114">
        <f>'alley-cropping'!J20</f>
        <v>-54.15</v>
      </c>
      <c r="Q39" s="114">
        <f>'alley-cropping'!J21</f>
        <v>-54.15</v>
      </c>
      <c r="R39" s="114">
        <f>'alley-cropping'!J22</f>
        <v>-54.15</v>
      </c>
      <c r="S39" s="114">
        <f>'alley-cropping'!J23</f>
        <v>-54.15</v>
      </c>
    </row>
    <row r="40" spans="2:19" x14ac:dyDescent="0.35">
      <c r="B40" s="1" t="s">
        <v>387</v>
      </c>
      <c r="D40" s="167">
        <f t="shared" ref="D40:S40" si="8">D39+D36</f>
        <v>-1906.1983471074379</v>
      </c>
      <c r="E40" s="167">
        <f t="shared" si="8"/>
        <v>-27917.24436248804</v>
      </c>
      <c r="F40" s="167">
        <f t="shared" si="8"/>
        <v>-686.67272727272723</v>
      </c>
      <c r="G40" s="167">
        <f t="shared" si="8"/>
        <v>-235.18886806972921</v>
      </c>
      <c r="H40" s="167">
        <f t="shared" si="8"/>
        <v>1117.8491287231509</v>
      </c>
      <c r="I40" s="167">
        <f t="shared" si="8"/>
        <v>3464.6897145445573</v>
      </c>
      <c r="J40" s="167">
        <f t="shared" si="8"/>
        <v>6244.5960222930462</v>
      </c>
      <c r="K40" s="167">
        <f t="shared" si="8"/>
        <v>9841.3974098510407</v>
      </c>
      <c r="L40" s="167">
        <f t="shared" si="8"/>
        <v>11625.43527967191</v>
      </c>
      <c r="M40" s="167">
        <f t="shared" si="8"/>
        <v>12012.690359402714</v>
      </c>
      <c r="N40" s="167">
        <f t="shared" si="8"/>
        <v>12007.751960358821</v>
      </c>
      <c r="O40" s="167">
        <f t="shared" si="8"/>
        <v>14625.911182665963</v>
      </c>
      <c r="P40" s="167">
        <f t="shared" si="8"/>
        <v>12264.764382968782</v>
      </c>
      <c r="Q40" s="167">
        <f t="shared" si="8"/>
        <v>14615.532603728125</v>
      </c>
      <c r="R40" s="167">
        <f t="shared" si="8"/>
        <v>12254.178232452185</v>
      </c>
      <c r="S40" s="167">
        <f t="shared" si="8"/>
        <v>14604.734730201197</v>
      </c>
    </row>
    <row r="41" spans="2:19" x14ac:dyDescent="0.35">
      <c r="B41" s="1" t="s">
        <v>388</v>
      </c>
      <c r="C41" s="1"/>
      <c r="D41" s="287">
        <f>D40</f>
        <v>-1906.1983471074379</v>
      </c>
      <c r="E41" s="287">
        <f t="shared" ref="E41:S41" si="9">D41+E40</f>
        <v>-29823.442709595478</v>
      </c>
      <c r="F41" s="287">
        <f t="shared" si="9"/>
        <v>-30510.115436868204</v>
      </c>
      <c r="G41" s="287">
        <f t="shared" si="9"/>
        <v>-30745.304304937934</v>
      </c>
      <c r="H41" s="287">
        <f t="shared" si="9"/>
        <v>-29627.455176214782</v>
      </c>
      <c r="I41" s="287">
        <f t="shared" si="9"/>
        <v>-26162.765461670224</v>
      </c>
      <c r="J41" s="287">
        <f t="shared" si="9"/>
        <v>-19918.169439377176</v>
      </c>
      <c r="K41" s="287">
        <f t="shared" si="9"/>
        <v>-10076.772029526135</v>
      </c>
      <c r="L41" s="287">
        <f t="shared" si="9"/>
        <v>1548.6632501457752</v>
      </c>
      <c r="M41" s="287">
        <f t="shared" si="9"/>
        <v>13561.353609548489</v>
      </c>
      <c r="N41" s="287">
        <f t="shared" si="9"/>
        <v>25569.105569907311</v>
      </c>
      <c r="O41" s="287">
        <f t="shared" si="9"/>
        <v>40195.016752573276</v>
      </c>
      <c r="P41" s="287">
        <f t="shared" si="9"/>
        <v>52459.781135542056</v>
      </c>
      <c r="Q41" s="287">
        <f t="shared" si="9"/>
        <v>67075.313739270176</v>
      </c>
      <c r="R41" s="287">
        <f t="shared" si="9"/>
        <v>79329.491971722367</v>
      </c>
      <c r="S41" s="287">
        <f t="shared" si="9"/>
        <v>93934.226701923559</v>
      </c>
    </row>
    <row r="42" spans="2:19" x14ac:dyDescent="0.35">
      <c r="B42" s="1"/>
      <c r="C42" s="1"/>
      <c r="D42" s="287"/>
      <c r="E42" s="287"/>
      <c r="F42" s="287"/>
      <c r="G42" s="287"/>
      <c r="H42" s="287"/>
      <c r="I42" s="287"/>
      <c r="J42" s="287"/>
      <c r="K42" s="287"/>
      <c r="L42" s="287"/>
      <c r="M42" s="287"/>
      <c r="N42" s="287"/>
      <c r="O42" s="287"/>
      <c r="P42" s="287"/>
      <c r="Q42" s="287"/>
      <c r="R42" s="287"/>
      <c r="S42" s="287"/>
    </row>
    <row r="43" spans="2:19" x14ac:dyDescent="0.35">
      <c r="B43" s="1" t="s">
        <v>389</v>
      </c>
      <c r="C43" s="1"/>
      <c r="D43" s="287">
        <f>D40/'Steps 1-6'!$C$15</f>
        <v>-370.15175404020493</v>
      </c>
      <c r="E43" s="287">
        <f>E40/'Steps 1-6'!$C$15</f>
        <v>-5421.0607119792785</v>
      </c>
      <c r="F43" s="287">
        <f>F40/'Steps 1-6'!$C$15</f>
        <v>-133.34032884734501</v>
      </c>
      <c r="G43" s="287">
        <f>G40/'Steps 1-6'!$C$15</f>
        <v>-45.669734305899048</v>
      </c>
      <c r="H43" s="287">
        <f>H40/'Steps 1-6'!$C$15</f>
        <v>217.06755562823278</v>
      </c>
      <c r="I43" s="287">
        <f>I40/'Steps 1-6'!$C$15</f>
        <v>672.78464331363853</v>
      </c>
      <c r="J43" s="287">
        <f>J40/'Steps 1-6'!$C$15</f>
        <v>1212.5958321345554</v>
      </c>
      <c r="K43" s="287">
        <f>K40/'Steps 1-6'!$C$15</f>
        <v>1911.0343469717502</v>
      </c>
      <c r="L43" s="287">
        <f>L40/'Steps 1-6'!$C$15</f>
        <v>2257.4645848273317</v>
      </c>
      <c r="M43" s="287">
        <f>M40/'Steps 1-6'!$C$15</f>
        <v>2332.6630274452536</v>
      </c>
      <c r="N43" s="287">
        <f>N40/'Steps 1-6'!$C$15</f>
        <v>2331.7040731627567</v>
      </c>
      <c r="O43" s="287">
        <f>O40/'Steps 1-6'!$C$15</f>
        <v>2840.1066903217284</v>
      </c>
      <c r="P43" s="287">
        <f>P40/'Steps 1-6'!$C$15</f>
        <v>2381.6115758020073</v>
      </c>
      <c r="Q43" s="287">
        <f>Q40/'Steps 1-6'!$C$15</f>
        <v>2838.0913443299983</v>
      </c>
      <c r="R43" s="287">
        <f>R40/'Steps 1-6'!$C$15</f>
        <v>2379.5559228904417</v>
      </c>
      <c r="S43" s="287">
        <f>S40/'Steps 1-6'!$C$15</f>
        <v>2835.994578360202</v>
      </c>
    </row>
    <row r="44" spans="2:19" x14ac:dyDescent="0.35">
      <c r="B44" s="1" t="s">
        <v>390</v>
      </c>
      <c r="C44" s="1"/>
      <c r="D44" s="287">
        <f>D43</f>
        <v>-370.15175404020493</v>
      </c>
      <c r="E44" s="287">
        <f t="shared" ref="E44:S44" si="10">D44+E43</f>
        <v>-5791.2124660194831</v>
      </c>
      <c r="F44" s="287">
        <f t="shared" si="10"/>
        <v>-5924.5527948668278</v>
      </c>
      <c r="G44" s="287">
        <f t="shared" si="10"/>
        <v>-5970.2225291727264</v>
      </c>
      <c r="H44" s="287">
        <f t="shared" si="10"/>
        <v>-5753.1549735444933</v>
      </c>
      <c r="I44" s="287">
        <f t="shared" si="10"/>
        <v>-5080.370330230855</v>
      </c>
      <c r="J44" s="287">
        <f t="shared" si="10"/>
        <v>-3867.7744980962998</v>
      </c>
      <c r="K44" s="287">
        <f t="shared" si="10"/>
        <v>-1956.7401511245496</v>
      </c>
      <c r="L44" s="287">
        <f t="shared" si="10"/>
        <v>300.72443370278211</v>
      </c>
      <c r="M44" s="287">
        <f t="shared" si="10"/>
        <v>2633.387461148036</v>
      </c>
      <c r="N44" s="287">
        <f t="shared" si="10"/>
        <v>4965.0915343107927</v>
      </c>
      <c r="O44" s="287">
        <f t="shared" si="10"/>
        <v>7805.1982246325206</v>
      </c>
      <c r="P44" s="287">
        <f t="shared" si="10"/>
        <v>10186.809800434528</v>
      </c>
      <c r="Q44" s="287">
        <f t="shared" si="10"/>
        <v>13024.901144764526</v>
      </c>
      <c r="R44" s="287">
        <f t="shared" si="10"/>
        <v>15404.457067654968</v>
      </c>
      <c r="S44" s="287">
        <f t="shared" si="10"/>
        <v>18240.451646015172</v>
      </c>
    </row>
    <row r="46" spans="2:19" x14ac:dyDescent="0.35">
      <c r="S46" s="168"/>
    </row>
  </sheetData>
  <sheetProtection algorithmName="SHA-512" hashValue="RjzrB6fuoM8KGqeJiQUljEHz2m76XGm52rvHqJmw3k84Ek6/7Hl2XQkJAdeHLSWotCgbaGI448WPJSaeAMSlgQ==" saltValue="zIqR0x3aAILdrVC042zarA==" spinCount="100000" sheet="1" objects="1" scenarios="1" selectLockedCells="1"/>
  <mergeCells count="4">
    <mergeCell ref="D2:S2"/>
    <mergeCell ref="D3:E3"/>
    <mergeCell ref="F3:I3"/>
    <mergeCell ref="J3:S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0]!ReturntoHomePage">
                <anchor moveWithCells="1" sizeWithCells="1">
                  <from>
                    <xdr:col>6</xdr:col>
                    <xdr:colOff>603250</xdr:colOff>
                    <xdr:row>0</xdr:row>
                    <xdr:rowOff>38100</xdr:rowOff>
                  </from>
                  <to>
                    <xdr:col>9</xdr:col>
                    <xdr:colOff>336550</xdr:colOff>
                    <xdr:row>1</xdr:row>
                    <xdr:rowOff>50800</xdr:rowOff>
                  </to>
                </anchor>
              </controlPr>
            </control>
          </mc:Choice>
        </mc:AlternateContent>
        <mc:AlternateContent xmlns:mc="http://schemas.openxmlformats.org/markup-compatibility/2006">
          <mc:Choice Requires="x14">
            <control shapeId="15362" r:id="rId5" name="Button 2">
              <controlPr defaultSize="0" print="0" autoFill="0" autoPict="0" macro="[0]!Graph">
                <anchor moveWithCells="1" sizeWithCells="1">
                  <from>
                    <xdr:col>11</xdr:col>
                    <xdr:colOff>228600</xdr:colOff>
                    <xdr:row>0</xdr:row>
                    <xdr:rowOff>38100</xdr:rowOff>
                  </from>
                  <to>
                    <xdr:col>13</xdr:col>
                    <xdr:colOff>571500</xdr:colOff>
                    <xdr:row>1</xdr:row>
                    <xdr:rowOff>50800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P36"/>
  <sheetViews>
    <sheetView workbookViewId="0">
      <selection activeCell="L19" sqref="L19"/>
    </sheetView>
  </sheetViews>
  <sheetFormatPr defaultRowHeight="14.5" x14ac:dyDescent="0.35"/>
  <cols>
    <col min="2" max="2" width="12.54296875" bestFit="1" customWidth="1"/>
    <col min="3" max="3" width="12.54296875" customWidth="1"/>
  </cols>
  <sheetData>
    <row r="1" spans="1:16" x14ac:dyDescent="0.35">
      <c r="A1" s="126"/>
      <c r="B1" s="420" t="s">
        <v>375</v>
      </c>
      <c r="C1" s="420" t="s">
        <v>376</v>
      </c>
      <c r="D1" s="126"/>
      <c r="E1" s="126"/>
      <c r="F1" s="126"/>
      <c r="G1" s="126"/>
      <c r="H1" s="126"/>
      <c r="I1" s="126"/>
      <c r="J1" s="126"/>
      <c r="K1" s="126"/>
      <c r="L1" s="126"/>
      <c r="M1" s="126"/>
      <c r="N1" s="126"/>
      <c r="O1" s="126"/>
      <c r="P1" s="126"/>
    </row>
    <row r="2" spans="1:16" x14ac:dyDescent="0.35">
      <c r="A2" s="127" t="s">
        <v>0</v>
      </c>
      <c r="B2" s="420"/>
      <c r="C2" s="420"/>
      <c r="D2" s="126"/>
      <c r="E2" s="126"/>
      <c r="F2" s="126"/>
      <c r="G2" s="126"/>
      <c r="H2" s="126"/>
      <c r="I2" s="126"/>
      <c r="J2" s="126"/>
      <c r="K2" s="126"/>
      <c r="L2" s="126"/>
      <c r="M2" s="126"/>
      <c r="N2" s="126"/>
      <c r="O2" s="126"/>
      <c r="P2" s="126"/>
    </row>
    <row r="3" spans="1:16" x14ac:dyDescent="0.35">
      <c r="A3" s="128">
        <v>0</v>
      </c>
      <c r="B3" s="165">
        <f>budget!D36</f>
        <v>-1906.1983471074379</v>
      </c>
      <c r="C3" s="165">
        <f>budget!D41</f>
        <v>-1906.1983471074379</v>
      </c>
      <c r="D3" s="126"/>
      <c r="E3" s="126"/>
      <c r="F3" s="126"/>
      <c r="G3" s="126"/>
      <c r="H3" s="126"/>
      <c r="I3" s="126"/>
      <c r="J3" s="126"/>
      <c r="K3" s="126"/>
      <c r="L3" s="126"/>
      <c r="M3" s="126"/>
      <c r="N3" s="126"/>
      <c r="O3" s="126"/>
      <c r="P3" s="126"/>
    </row>
    <row r="4" spans="1:16" x14ac:dyDescent="0.35">
      <c r="A4" s="128">
        <v>1</v>
      </c>
      <c r="B4" s="165">
        <f>B3+budget!E36</f>
        <v>-30389.127420339279</v>
      </c>
      <c r="C4" s="165">
        <f>budget!E41</f>
        <v>-29823.442709595478</v>
      </c>
      <c r="D4" s="126"/>
      <c r="E4" s="126"/>
      <c r="F4" s="126"/>
      <c r="G4" s="126"/>
      <c r="H4" s="126"/>
      <c r="I4" s="126"/>
      <c r="J4" s="126"/>
      <c r="K4" s="126"/>
      <c r="L4" s="126"/>
      <c r="M4" s="126"/>
      <c r="N4" s="126"/>
      <c r="O4" s="126"/>
      <c r="P4" s="126"/>
    </row>
    <row r="5" spans="1:16" x14ac:dyDescent="0.35">
      <c r="A5" s="128">
        <v>2</v>
      </c>
      <c r="B5" s="165">
        <f>B4+budget!F36</f>
        <v>-31641.484858355809</v>
      </c>
      <c r="C5" s="165">
        <f>budget!F41</f>
        <v>-30510.115436868204</v>
      </c>
      <c r="D5" s="126"/>
      <c r="E5" s="126"/>
      <c r="F5" s="126"/>
      <c r="G5" s="126"/>
      <c r="H5" s="126"/>
      <c r="I5" s="126"/>
      <c r="J5" s="126"/>
      <c r="K5" s="126"/>
      <c r="L5" s="126"/>
      <c r="M5" s="126"/>
      <c r="N5" s="126"/>
      <c r="O5" s="126"/>
      <c r="P5" s="126"/>
    </row>
    <row r="6" spans="1:16" x14ac:dyDescent="0.35">
      <c r="A6" s="128">
        <v>3</v>
      </c>
      <c r="B6" s="165">
        <f>B5+budget!G36</f>
        <v>-32442.35843716934</v>
      </c>
      <c r="C6" s="165">
        <f>budget!G41</f>
        <v>-30745.304304937934</v>
      </c>
      <c r="D6" s="126"/>
      <c r="E6" s="126"/>
      <c r="F6" s="126"/>
      <c r="G6" s="126"/>
      <c r="H6" s="126"/>
      <c r="I6" s="126"/>
      <c r="J6" s="126"/>
      <c r="K6" s="126"/>
      <c r="L6" s="126"/>
      <c r="M6" s="126"/>
      <c r="N6" s="126"/>
      <c r="O6" s="126"/>
      <c r="P6" s="126"/>
    </row>
    <row r="7" spans="1:16" x14ac:dyDescent="0.35">
      <c r="A7" s="128">
        <v>4</v>
      </c>
      <c r="B7" s="165">
        <f>B6+budget!H36</f>
        <v>-31890.194019189992</v>
      </c>
      <c r="C7" s="165">
        <f>budget!H41</f>
        <v>-29627.455176214782</v>
      </c>
      <c r="D7" s="126"/>
      <c r="E7" s="126"/>
      <c r="F7" s="126"/>
      <c r="G7" s="126"/>
      <c r="H7" s="126"/>
      <c r="I7" s="126"/>
      <c r="J7" s="126"/>
      <c r="K7" s="126"/>
      <c r="L7" s="126"/>
      <c r="M7" s="126"/>
      <c r="N7" s="126"/>
      <c r="O7" s="126"/>
      <c r="P7" s="126"/>
    </row>
    <row r="8" spans="1:16" x14ac:dyDescent="0.35">
      <c r="A8" s="128">
        <v>5</v>
      </c>
      <c r="B8" s="165">
        <f>B7+budget!I36</f>
        <v>-28922.318491973259</v>
      </c>
      <c r="C8" s="165">
        <f>budget!I41</f>
        <v>-26162.765461670224</v>
      </c>
      <c r="D8" s="126"/>
      <c r="E8" s="126"/>
      <c r="F8" s="126"/>
      <c r="G8" s="126"/>
      <c r="H8" s="126"/>
      <c r="I8" s="126"/>
      <c r="J8" s="126"/>
      <c r="K8" s="126"/>
      <c r="L8" s="126"/>
      <c r="M8" s="126"/>
      <c r="N8" s="126"/>
      <c r="O8" s="126"/>
      <c r="P8" s="126"/>
    </row>
    <row r="9" spans="1:16" x14ac:dyDescent="0.35">
      <c r="A9" s="128">
        <v>6</v>
      </c>
      <c r="B9" s="165">
        <f>B8+budget!J36</f>
        <v>-23140.101395300047</v>
      </c>
      <c r="C9" s="165">
        <f>budget!J41</f>
        <v>-19918.169439377176</v>
      </c>
      <c r="D9" s="126"/>
      <c r="E9" s="126"/>
      <c r="F9" s="126"/>
      <c r="G9" s="126"/>
      <c r="H9" s="126"/>
      <c r="I9" s="126"/>
      <c r="J9" s="126"/>
      <c r="K9" s="126"/>
      <c r="L9" s="126"/>
      <c r="M9" s="126"/>
      <c r="N9" s="126"/>
      <c r="O9" s="126"/>
      <c r="P9" s="126"/>
    </row>
    <row r="10" spans="1:16" x14ac:dyDescent="0.35">
      <c r="A10" s="128">
        <v>7</v>
      </c>
      <c r="B10" s="165">
        <f>B9+budget!K36</f>
        <v>-13726.647649360853</v>
      </c>
      <c r="C10" s="165">
        <f>budget!K41</f>
        <v>-10076.772029526135</v>
      </c>
      <c r="D10" s="126"/>
      <c r="E10" s="126"/>
      <c r="F10" s="126"/>
      <c r="G10" s="126"/>
      <c r="H10" s="126"/>
      <c r="I10" s="126"/>
      <c r="J10" s="126"/>
      <c r="K10" s="126"/>
      <c r="L10" s="126"/>
      <c r="M10" s="126"/>
      <c r="N10" s="126"/>
      <c r="O10" s="126"/>
      <c r="P10" s="126"/>
    </row>
    <row r="11" spans="1:16" x14ac:dyDescent="0.35">
      <c r="A11" s="128">
        <v>8</v>
      </c>
      <c r="B11" s="165">
        <f>B10+budget!L36</f>
        <v>-2460.2855101848108</v>
      </c>
      <c r="C11" s="165">
        <f>budget!L41</f>
        <v>1548.6632501457752</v>
      </c>
      <c r="D11" s="126"/>
      <c r="E11" s="126"/>
      <c r="F11" s="126"/>
      <c r="G11" s="126"/>
      <c r="H11" s="126"/>
      <c r="I11" s="126"/>
      <c r="J11" s="126"/>
      <c r="K11" s="126"/>
      <c r="L11" s="126"/>
      <c r="M11" s="126"/>
      <c r="N11" s="126"/>
      <c r="O11" s="126"/>
      <c r="P11" s="126"/>
    </row>
    <row r="12" spans="1:16" x14ac:dyDescent="0.35">
      <c r="A12" s="128">
        <v>9</v>
      </c>
      <c r="B12" s="165">
        <f>B11+budget!M36</f>
        <v>9873.7423492179023</v>
      </c>
      <c r="C12" s="165">
        <f>budget!M41</f>
        <v>13561.353609548489</v>
      </c>
      <c r="D12" s="126"/>
      <c r="E12" s="126"/>
      <c r="F12" s="126"/>
      <c r="G12" s="126"/>
      <c r="H12" s="126"/>
      <c r="I12" s="126"/>
      <c r="J12" s="126"/>
      <c r="K12" s="126"/>
      <c r="L12" s="126"/>
      <c r="M12" s="126"/>
      <c r="N12" s="126"/>
      <c r="O12" s="126"/>
      <c r="P12" s="126"/>
    </row>
    <row r="13" spans="1:16" x14ac:dyDescent="0.35">
      <c r="A13" s="128">
        <v>10</v>
      </c>
      <c r="B13" s="165">
        <f>B12+budget!N36</f>
        <v>22202.831809576724</v>
      </c>
      <c r="C13" s="165">
        <f>budget!N41</f>
        <v>25569.105569907311</v>
      </c>
      <c r="D13" s="126"/>
      <c r="E13" s="126"/>
      <c r="F13" s="126"/>
      <c r="G13" s="126"/>
      <c r="H13" s="126"/>
      <c r="I13" s="126"/>
      <c r="J13" s="126"/>
      <c r="K13" s="126"/>
      <c r="L13" s="126"/>
      <c r="M13" s="126"/>
      <c r="N13" s="126"/>
      <c r="O13" s="126"/>
      <c r="P13" s="126"/>
    </row>
    <row r="14" spans="1:16" x14ac:dyDescent="0.35">
      <c r="A14" s="128">
        <v>11</v>
      </c>
      <c r="B14" s="165">
        <f>B13+budget!O36</f>
        <v>36882.892992242691</v>
      </c>
      <c r="C14" s="165">
        <f>budget!O41</f>
        <v>40195.016752573276</v>
      </c>
      <c r="D14" s="126"/>
      <c r="E14" s="126"/>
      <c r="F14" s="126"/>
      <c r="G14" s="126"/>
      <c r="H14" s="126"/>
      <c r="I14" s="126"/>
      <c r="J14" s="126"/>
      <c r="K14" s="126"/>
      <c r="L14" s="126"/>
      <c r="M14" s="126"/>
      <c r="N14" s="126"/>
      <c r="O14" s="126"/>
      <c r="P14" s="126"/>
    </row>
    <row r="15" spans="1:16" x14ac:dyDescent="0.35">
      <c r="A15" s="128">
        <v>12</v>
      </c>
      <c r="B15" s="165">
        <f>B14+budget!P36</f>
        <v>49201.807375211472</v>
      </c>
      <c r="C15" s="165">
        <f>budget!P41</f>
        <v>52459.781135542056</v>
      </c>
      <c r="D15" s="126"/>
      <c r="E15" s="126"/>
      <c r="F15" s="126"/>
      <c r="G15" s="126"/>
      <c r="H15" s="126"/>
      <c r="I15" s="126"/>
      <c r="J15" s="126"/>
      <c r="K15" s="126"/>
      <c r="L15" s="126"/>
      <c r="M15" s="126"/>
      <c r="N15" s="126"/>
      <c r="O15" s="126"/>
      <c r="P15" s="126"/>
    </row>
    <row r="16" spans="1:16" x14ac:dyDescent="0.35">
      <c r="A16" s="128">
        <v>13</v>
      </c>
      <c r="B16" s="165">
        <f>B15+budget!Q36</f>
        <v>63871.4899789396</v>
      </c>
      <c r="C16" s="165">
        <f>budget!Q41</f>
        <v>67075.313739270176</v>
      </c>
      <c r="D16" s="126"/>
      <c r="E16" s="126"/>
      <c r="F16" s="126"/>
      <c r="G16" s="126"/>
      <c r="H16" s="126"/>
      <c r="I16" s="126"/>
      <c r="J16" s="126"/>
      <c r="K16" s="126"/>
      <c r="L16" s="126"/>
      <c r="M16" s="126"/>
      <c r="N16" s="126"/>
      <c r="O16" s="126"/>
      <c r="P16" s="126"/>
    </row>
    <row r="17" spans="1:16" x14ac:dyDescent="0.35">
      <c r="A17" s="128">
        <v>14</v>
      </c>
      <c r="B17" s="165">
        <f>B16+budget!R36</f>
        <v>76179.818211391786</v>
      </c>
      <c r="C17" s="165">
        <f>budget!R41</f>
        <v>79329.491971722367</v>
      </c>
      <c r="D17" s="126"/>
      <c r="E17" s="126"/>
      <c r="F17" s="126"/>
      <c r="G17" s="126"/>
      <c r="H17" s="126"/>
      <c r="I17" s="126"/>
      <c r="J17" s="126"/>
      <c r="K17" s="126"/>
      <c r="L17" s="126"/>
      <c r="M17" s="126"/>
      <c r="N17" s="126"/>
      <c r="O17" s="126"/>
      <c r="P17" s="126"/>
    </row>
    <row r="18" spans="1:16" x14ac:dyDescent="0.35">
      <c r="A18" s="128">
        <v>15</v>
      </c>
      <c r="B18" s="165">
        <f>B17+budget!S36</f>
        <v>90838.702941592986</v>
      </c>
      <c r="C18" s="165">
        <f>budget!S41</f>
        <v>93934.226701923559</v>
      </c>
      <c r="D18" s="126"/>
      <c r="E18" s="126"/>
      <c r="F18" s="126"/>
      <c r="G18" s="126"/>
      <c r="H18" s="126"/>
      <c r="I18" s="126"/>
      <c r="J18" s="126"/>
      <c r="K18" s="126"/>
      <c r="L18" s="126"/>
      <c r="M18" s="126"/>
      <c r="N18" s="126"/>
      <c r="O18" s="126"/>
      <c r="P18" s="126"/>
    </row>
    <row r="19" spans="1:16" x14ac:dyDescent="0.35">
      <c r="A19" s="126"/>
      <c r="B19" s="126"/>
      <c r="C19" s="126"/>
      <c r="D19" s="126"/>
      <c r="E19" s="126"/>
      <c r="F19" s="126"/>
      <c r="G19" s="126"/>
      <c r="H19" s="126"/>
      <c r="I19" s="126"/>
      <c r="J19" s="126"/>
      <c r="K19" s="126"/>
      <c r="L19" s="126"/>
      <c r="M19" s="126"/>
      <c r="N19" s="126"/>
      <c r="O19" s="126"/>
      <c r="P19" s="126"/>
    </row>
    <row r="20" spans="1:16" x14ac:dyDescent="0.35">
      <c r="A20" s="126"/>
      <c r="B20" s="126"/>
      <c r="C20" s="126"/>
      <c r="D20" s="126"/>
      <c r="E20" s="126"/>
      <c r="F20" s="126"/>
      <c r="G20" s="126"/>
      <c r="H20" s="126"/>
      <c r="I20" s="126"/>
      <c r="J20" s="126"/>
      <c r="K20" s="126"/>
      <c r="L20" s="126"/>
      <c r="M20" s="126"/>
      <c r="N20" s="126"/>
      <c r="O20" s="126"/>
      <c r="P20" s="126"/>
    </row>
    <row r="21" spans="1:16" x14ac:dyDescent="0.35">
      <c r="A21" s="126"/>
      <c r="B21" s="126"/>
      <c r="C21" s="126"/>
      <c r="D21" s="126"/>
      <c r="E21" s="126"/>
      <c r="F21" s="126"/>
      <c r="G21" s="126"/>
      <c r="H21" s="126"/>
      <c r="I21" s="126"/>
      <c r="J21" s="126"/>
      <c r="K21" s="126"/>
      <c r="L21" s="126"/>
      <c r="M21" s="126"/>
      <c r="N21" s="126"/>
      <c r="O21" s="126"/>
      <c r="P21" s="126"/>
    </row>
    <row r="22" spans="1:16" x14ac:dyDescent="0.35">
      <c r="A22" s="126"/>
      <c r="B22" s="126"/>
      <c r="C22" s="126"/>
      <c r="D22" s="126"/>
      <c r="E22" s="126"/>
      <c r="F22" s="126"/>
      <c r="G22" s="126"/>
      <c r="H22" s="126"/>
      <c r="I22" s="126"/>
      <c r="J22" s="126"/>
      <c r="K22" s="126"/>
      <c r="L22" s="126"/>
      <c r="M22" s="126"/>
      <c r="N22" s="126"/>
      <c r="O22" s="126"/>
      <c r="P22" s="126"/>
    </row>
    <row r="23" spans="1:16" x14ac:dyDescent="0.35">
      <c r="A23" s="126"/>
      <c r="B23" s="126"/>
      <c r="C23" s="126"/>
      <c r="D23" s="126"/>
      <c r="E23" s="126"/>
      <c r="F23" s="126"/>
      <c r="G23" s="126"/>
      <c r="H23" s="126"/>
      <c r="I23" s="126"/>
      <c r="J23" s="126"/>
      <c r="K23" s="126"/>
      <c r="L23" s="126"/>
      <c r="M23" s="126"/>
      <c r="N23" s="126"/>
      <c r="O23" s="126"/>
      <c r="P23" s="126"/>
    </row>
    <row r="24" spans="1:16" x14ac:dyDescent="0.35">
      <c r="A24" s="126"/>
      <c r="B24" s="126"/>
      <c r="C24" s="126"/>
      <c r="D24" s="126"/>
      <c r="E24" s="126"/>
      <c r="F24" s="126"/>
      <c r="G24" s="126"/>
      <c r="H24" s="126"/>
      <c r="I24" s="126"/>
      <c r="J24" s="126"/>
      <c r="K24" s="126"/>
      <c r="L24" s="126"/>
      <c r="M24" s="126"/>
      <c r="N24" s="126"/>
      <c r="O24" s="126"/>
      <c r="P24" s="126"/>
    </row>
    <row r="25" spans="1:16" x14ac:dyDescent="0.35">
      <c r="A25" s="126"/>
      <c r="B25" s="126"/>
      <c r="C25" s="126"/>
      <c r="D25" s="129"/>
      <c r="E25" s="126"/>
      <c r="F25" s="126"/>
      <c r="G25" s="126"/>
      <c r="H25" s="126"/>
      <c r="I25" s="126"/>
      <c r="J25" s="126"/>
      <c r="K25" s="126"/>
      <c r="L25" s="126"/>
      <c r="M25" s="126"/>
      <c r="N25" s="126"/>
      <c r="O25" s="126"/>
      <c r="P25" s="126"/>
    </row>
    <row r="26" spans="1:16" x14ac:dyDescent="0.35">
      <c r="A26" s="126"/>
      <c r="B26" s="126"/>
      <c r="C26" s="126"/>
      <c r="D26" s="126"/>
      <c r="E26" s="126"/>
      <c r="F26" s="126"/>
      <c r="G26" s="126"/>
      <c r="H26" s="126"/>
      <c r="I26" s="126"/>
      <c r="J26" s="126"/>
      <c r="K26" s="126"/>
      <c r="L26" s="126"/>
      <c r="M26" s="126"/>
      <c r="N26" s="126"/>
      <c r="O26" s="126"/>
      <c r="P26" s="126"/>
    </row>
    <row r="27" spans="1:16" x14ac:dyDescent="0.35">
      <c r="A27" s="126"/>
      <c r="B27" s="126"/>
      <c r="C27" s="126"/>
      <c r="D27" s="419"/>
      <c r="E27" s="419"/>
      <c r="F27" s="126"/>
      <c r="G27" s="126"/>
      <c r="H27" s="126"/>
      <c r="I27" s="126"/>
      <c r="J27" s="126"/>
      <c r="K27" s="126"/>
      <c r="L27" s="126"/>
      <c r="M27" s="126"/>
      <c r="N27" s="126"/>
      <c r="O27" s="126"/>
      <c r="P27" s="126"/>
    </row>
    <row r="28" spans="1:16" x14ac:dyDescent="0.35">
      <c r="A28" s="126"/>
      <c r="B28" s="126"/>
      <c r="C28" s="126"/>
      <c r="D28" s="126"/>
      <c r="E28" s="126"/>
      <c r="F28" s="126"/>
      <c r="G28" s="126"/>
      <c r="H28" s="126"/>
      <c r="I28" s="126"/>
      <c r="J28" s="126"/>
      <c r="K28" s="126"/>
      <c r="L28" s="126"/>
      <c r="M28" s="126"/>
      <c r="N28" s="126"/>
      <c r="O28" s="126"/>
      <c r="P28" s="126"/>
    </row>
    <row r="29" spans="1:16" x14ac:dyDescent="0.35">
      <c r="A29" s="126"/>
      <c r="B29" s="126"/>
      <c r="C29" s="126"/>
      <c r="D29" s="129"/>
      <c r="E29" s="126"/>
      <c r="F29" s="126"/>
      <c r="G29" s="126"/>
      <c r="H29" s="126"/>
      <c r="I29" s="126"/>
      <c r="J29" s="126"/>
      <c r="K29" s="126"/>
      <c r="L29" s="126"/>
      <c r="M29" s="126"/>
      <c r="N29" s="126"/>
      <c r="O29" s="126"/>
      <c r="P29" s="126"/>
    </row>
    <row r="30" spans="1:16" x14ac:dyDescent="0.35">
      <c r="A30" s="126"/>
      <c r="B30" s="126"/>
      <c r="C30" s="126"/>
      <c r="D30" s="126"/>
      <c r="E30" s="126"/>
      <c r="F30" s="129"/>
      <c r="G30" s="126"/>
      <c r="H30" s="126"/>
      <c r="I30" s="126"/>
      <c r="J30" s="126"/>
      <c r="K30" s="126"/>
      <c r="L30" s="126"/>
      <c r="M30" s="126"/>
      <c r="N30" s="126"/>
      <c r="O30" s="126"/>
      <c r="P30" s="126"/>
    </row>
    <row r="31" spans="1:16" x14ac:dyDescent="0.35">
      <c r="A31" s="126"/>
      <c r="B31" s="126"/>
      <c r="C31" s="126"/>
      <c r="D31" s="126"/>
      <c r="E31" s="126"/>
      <c r="F31" s="126"/>
      <c r="G31" s="126"/>
      <c r="H31" s="126"/>
      <c r="I31" s="126"/>
      <c r="J31" s="126"/>
      <c r="K31" s="126"/>
      <c r="L31" s="126"/>
      <c r="M31" s="126"/>
      <c r="N31" s="126"/>
      <c r="O31" s="126"/>
      <c r="P31" s="126"/>
    </row>
    <row r="32" spans="1:16" x14ac:dyDescent="0.35">
      <c r="A32" s="126"/>
      <c r="B32" s="126"/>
      <c r="C32" s="126"/>
      <c r="D32" s="126"/>
      <c r="E32" s="126"/>
      <c r="F32" s="126"/>
      <c r="G32" s="126"/>
      <c r="H32" s="126"/>
      <c r="I32" s="126"/>
      <c r="J32" s="126"/>
      <c r="K32" s="126"/>
      <c r="L32" s="126"/>
      <c r="M32" s="126"/>
      <c r="N32" s="126"/>
      <c r="O32" s="126"/>
      <c r="P32" s="126"/>
    </row>
    <row r="33" spans="1:16" x14ac:dyDescent="0.35">
      <c r="A33" s="126"/>
      <c r="B33" s="126"/>
      <c r="C33" s="126"/>
      <c r="D33" s="126"/>
      <c r="E33" s="126"/>
      <c r="F33" s="126"/>
      <c r="G33" s="126"/>
      <c r="H33" s="126"/>
      <c r="I33" s="126"/>
      <c r="J33" s="126"/>
      <c r="K33" s="126"/>
      <c r="L33" s="126"/>
      <c r="M33" s="126"/>
      <c r="N33" s="126"/>
      <c r="O33" s="126"/>
      <c r="P33" s="126"/>
    </row>
    <row r="34" spans="1:16" x14ac:dyDescent="0.35">
      <c r="A34" s="126"/>
      <c r="B34" s="126"/>
      <c r="C34" s="126"/>
      <c r="D34" s="126"/>
      <c r="E34" s="126"/>
      <c r="F34" s="126"/>
      <c r="G34" s="126"/>
      <c r="H34" s="126"/>
      <c r="I34" s="126"/>
      <c r="J34" s="126"/>
      <c r="K34" s="126"/>
      <c r="L34" s="126"/>
      <c r="M34" s="126"/>
      <c r="N34" s="126"/>
      <c r="O34" s="126"/>
      <c r="P34" s="126"/>
    </row>
    <row r="35" spans="1:16" x14ac:dyDescent="0.35">
      <c r="A35" s="126"/>
      <c r="B35" s="126"/>
      <c r="C35" s="126"/>
      <c r="D35" s="126"/>
      <c r="E35" s="126"/>
      <c r="F35" s="126"/>
      <c r="G35" s="126"/>
      <c r="H35" s="126"/>
      <c r="I35" s="126"/>
      <c r="J35" s="126"/>
      <c r="K35" s="126"/>
      <c r="L35" s="126"/>
      <c r="M35" s="126"/>
      <c r="N35" s="126"/>
      <c r="O35" s="126"/>
      <c r="P35" s="126"/>
    </row>
    <row r="36" spans="1:16" x14ac:dyDescent="0.35">
      <c r="A36" s="126"/>
      <c r="B36" s="126"/>
      <c r="C36" s="126"/>
      <c r="D36" s="126"/>
      <c r="E36" s="126"/>
      <c r="F36" s="126"/>
      <c r="G36" s="126"/>
      <c r="H36" s="126"/>
      <c r="I36" s="126"/>
      <c r="J36" s="126"/>
      <c r="K36" s="126"/>
      <c r="L36" s="126"/>
      <c r="M36" s="126"/>
      <c r="N36" s="126"/>
      <c r="O36" s="126"/>
      <c r="P36" s="126"/>
    </row>
  </sheetData>
  <sheetProtection algorithmName="SHA-512" hashValue="WccH5tWCPENbvlUhMqbER4SytEeoyo8bL3IBzlpa8/vHXSMKdgQ/mtsH7LfoBP0a6N+O1ym4k2cHVPV4CZNzig==" saltValue="YGea0UHIxg12wcCPCetRpg==" spinCount="100000" sheet="1" objects="1" scenarios="1" selectLockedCells="1"/>
  <mergeCells count="3">
    <mergeCell ref="D27:E27"/>
    <mergeCell ref="B1:B2"/>
    <mergeCell ref="C1:C2"/>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0]!ReturntoHomePage">
                <anchor moveWithCells="1" sizeWithCells="1">
                  <from>
                    <xdr:col>7</xdr:col>
                    <xdr:colOff>342900</xdr:colOff>
                    <xdr:row>18</xdr:row>
                    <xdr:rowOff>19050</xdr:rowOff>
                  </from>
                  <to>
                    <xdr:col>9</xdr:col>
                    <xdr:colOff>571500</xdr:colOff>
                    <xdr:row>21</xdr:row>
                    <xdr:rowOff>6350</xdr:rowOff>
                  </to>
                </anchor>
              </controlPr>
            </control>
          </mc:Choice>
        </mc:AlternateContent>
        <mc:AlternateContent xmlns:mc="http://schemas.openxmlformats.org/markup-compatibility/2006">
          <mc:Choice Requires="x14">
            <control shapeId="14338" r:id="rId5" name="Button 2">
              <controlPr defaultSize="0" print="0" autoFill="0" autoPict="0" macro="[0]!Budget">
                <anchor moveWithCells="1" sizeWithCells="1">
                  <from>
                    <xdr:col>4</xdr:col>
                    <xdr:colOff>412750</xdr:colOff>
                    <xdr:row>18</xdr:row>
                    <xdr:rowOff>50800</xdr:rowOff>
                  </from>
                  <to>
                    <xdr:col>7</xdr:col>
                    <xdr:colOff>0</xdr:colOff>
                    <xdr:row>21</xdr:row>
                    <xdr:rowOff>6350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D2:F77"/>
  <sheetViews>
    <sheetView workbookViewId="0">
      <selection activeCell="F41" sqref="F41"/>
    </sheetView>
  </sheetViews>
  <sheetFormatPr defaultRowHeight="14.5" x14ac:dyDescent="0.35"/>
  <cols>
    <col min="2" max="2" width="2.81640625" customWidth="1"/>
    <col min="3" max="3" width="3.1796875" customWidth="1"/>
    <col min="4" max="4" width="45.26953125" customWidth="1"/>
    <col min="5" max="5" width="3.7265625" customWidth="1"/>
    <col min="6" max="6" width="37.453125" customWidth="1"/>
  </cols>
  <sheetData>
    <row r="2" spans="4:6" ht="21" x14ac:dyDescent="0.5">
      <c r="D2" s="19" t="s">
        <v>9</v>
      </c>
      <c r="F2" s="19" t="s">
        <v>42</v>
      </c>
    </row>
    <row r="3" spans="4:6" ht="15.75" customHeight="1" x14ac:dyDescent="0.35">
      <c r="D3" s="21" t="s">
        <v>29</v>
      </c>
      <c r="F3" s="21" t="s">
        <v>29</v>
      </c>
    </row>
    <row r="4" spans="4:6" x14ac:dyDescent="0.35">
      <c r="D4" s="18" t="s">
        <v>41</v>
      </c>
      <c r="F4" s="18" t="s">
        <v>41</v>
      </c>
    </row>
    <row r="5" spans="4:6" x14ac:dyDescent="0.35">
      <c r="D5" t="s">
        <v>28</v>
      </c>
      <c r="F5" t="s">
        <v>60</v>
      </c>
    </row>
    <row r="6" spans="4:6" x14ac:dyDescent="0.35">
      <c r="D6" s="20" t="s">
        <v>37</v>
      </c>
    </row>
    <row r="7" spans="4:6" x14ac:dyDescent="0.35">
      <c r="D7" t="s">
        <v>223</v>
      </c>
      <c r="F7" s="1" t="s">
        <v>30</v>
      </c>
    </row>
    <row r="8" spans="4:6" ht="15" customHeight="1" x14ac:dyDescent="0.35">
      <c r="D8" t="s">
        <v>224</v>
      </c>
      <c r="F8" t="s">
        <v>60</v>
      </c>
    </row>
    <row r="9" spans="4:6" x14ac:dyDescent="0.35">
      <c r="D9" t="s">
        <v>219</v>
      </c>
      <c r="F9" t="s">
        <v>44</v>
      </c>
    </row>
    <row r="10" spans="4:6" x14ac:dyDescent="0.35">
      <c r="D10" t="s">
        <v>220</v>
      </c>
      <c r="F10" t="s">
        <v>139</v>
      </c>
    </row>
    <row r="11" spans="4:6" x14ac:dyDescent="0.35">
      <c r="D11" t="s">
        <v>221</v>
      </c>
      <c r="F11" t="s">
        <v>75</v>
      </c>
    </row>
    <row r="12" spans="4:6" x14ac:dyDescent="0.35">
      <c r="D12" t="s">
        <v>222</v>
      </c>
      <c r="F12" t="s">
        <v>76</v>
      </c>
    </row>
    <row r="13" spans="4:6" x14ac:dyDescent="0.35">
      <c r="D13" t="s">
        <v>225</v>
      </c>
      <c r="F13" t="s">
        <v>45</v>
      </c>
    </row>
    <row r="14" spans="4:6" x14ac:dyDescent="0.35">
      <c r="D14" t="s">
        <v>226</v>
      </c>
      <c r="F14" t="s">
        <v>185</v>
      </c>
    </row>
    <row r="15" spans="4:6" x14ac:dyDescent="0.35">
      <c r="D15" t="s">
        <v>227</v>
      </c>
      <c r="F15" s="1" t="s">
        <v>35</v>
      </c>
    </row>
    <row r="16" spans="4:6" x14ac:dyDescent="0.35">
      <c r="D16" t="s">
        <v>228</v>
      </c>
      <c r="F16" t="s">
        <v>60</v>
      </c>
    </row>
    <row r="17" spans="4:6" x14ac:dyDescent="0.35">
      <c r="D17" t="s">
        <v>38</v>
      </c>
      <c r="F17" t="s">
        <v>2</v>
      </c>
    </row>
    <row r="18" spans="4:6" x14ac:dyDescent="0.35">
      <c r="F18" t="s">
        <v>45</v>
      </c>
    </row>
    <row r="19" spans="4:6" x14ac:dyDescent="0.35">
      <c r="F19" t="s">
        <v>49</v>
      </c>
    </row>
    <row r="20" spans="4:6" x14ac:dyDescent="0.35">
      <c r="D20" s="1" t="s">
        <v>30</v>
      </c>
      <c r="F20" t="s">
        <v>61</v>
      </c>
    </row>
    <row r="21" spans="4:6" x14ac:dyDescent="0.35">
      <c r="D21" t="s">
        <v>28</v>
      </c>
      <c r="F21" t="s">
        <v>185</v>
      </c>
    </row>
    <row r="22" spans="4:6" x14ac:dyDescent="0.35">
      <c r="D22" s="20" t="s">
        <v>37</v>
      </c>
      <c r="F22" s="1" t="s">
        <v>140</v>
      </c>
    </row>
    <row r="23" spans="4:6" x14ac:dyDescent="0.35">
      <c r="D23" t="s">
        <v>39</v>
      </c>
      <c r="F23" t="s">
        <v>60</v>
      </c>
    </row>
    <row r="24" spans="4:6" x14ac:dyDescent="0.35">
      <c r="D24" t="s">
        <v>31</v>
      </c>
      <c r="F24" t="s">
        <v>45</v>
      </c>
    </row>
    <row r="25" spans="4:6" x14ac:dyDescent="0.35">
      <c r="D25" t="s">
        <v>14</v>
      </c>
      <c r="F25" t="s">
        <v>48</v>
      </c>
    </row>
    <row r="26" spans="4:6" x14ac:dyDescent="0.35">
      <c r="D26" t="s">
        <v>33</v>
      </c>
      <c r="F26" t="s">
        <v>49</v>
      </c>
    </row>
    <row r="27" spans="4:6" x14ac:dyDescent="0.35">
      <c r="D27" t="s">
        <v>32</v>
      </c>
      <c r="F27" t="s">
        <v>56</v>
      </c>
    </row>
    <row r="28" spans="4:6" x14ac:dyDescent="0.35">
      <c r="D28" t="s">
        <v>38</v>
      </c>
      <c r="F28" t="s">
        <v>185</v>
      </c>
    </row>
    <row r="29" spans="4:6" x14ac:dyDescent="0.35">
      <c r="D29" t="s">
        <v>15</v>
      </c>
      <c r="F29" s="1" t="s">
        <v>50</v>
      </c>
    </row>
    <row r="30" spans="4:6" x14ac:dyDescent="0.35">
      <c r="D30" t="s">
        <v>16</v>
      </c>
      <c r="F30" t="s">
        <v>60</v>
      </c>
    </row>
    <row r="31" spans="4:6" x14ac:dyDescent="0.35">
      <c r="D31" t="s">
        <v>34</v>
      </c>
      <c r="F31" t="s">
        <v>55</v>
      </c>
    </row>
    <row r="32" spans="4:6" x14ac:dyDescent="0.35">
      <c r="D32" t="s">
        <v>47</v>
      </c>
      <c r="F32" t="s">
        <v>84</v>
      </c>
    </row>
    <row r="33" spans="4:6" x14ac:dyDescent="0.35">
      <c r="D33" t="s">
        <v>46</v>
      </c>
      <c r="F33" t="s">
        <v>45</v>
      </c>
    </row>
    <row r="34" spans="4:6" x14ac:dyDescent="0.35">
      <c r="D34" s="20" t="s">
        <v>43</v>
      </c>
      <c r="F34" t="s">
        <v>48</v>
      </c>
    </row>
    <row r="35" spans="4:6" x14ac:dyDescent="0.35">
      <c r="D35" s="20" t="s">
        <v>36</v>
      </c>
      <c r="F35" t="s">
        <v>49</v>
      </c>
    </row>
    <row r="36" spans="4:6" x14ac:dyDescent="0.35">
      <c r="D36" s="20" t="s">
        <v>13</v>
      </c>
      <c r="F36" t="s">
        <v>56</v>
      </c>
    </row>
    <row r="37" spans="4:6" x14ac:dyDescent="0.35">
      <c r="D37" s="20" t="s">
        <v>190</v>
      </c>
    </row>
    <row r="38" spans="4:6" x14ac:dyDescent="0.35">
      <c r="D38" s="20" t="s">
        <v>183</v>
      </c>
      <c r="F38" s="1" t="s">
        <v>54</v>
      </c>
    </row>
    <row r="39" spans="4:6" x14ac:dyDescent="0.35">
      <c r="D39" s="20" t="s">
        <v>184</v>
      </c>
      <c r="F39" t="s">
        <v>60</v>
      </c>
    </row>
    <row r="40" spans="4:6" x14ac:dyDescent="0.35">
      <c r="D40" s="1" t="s">
        <v>35</v>
      </c>
      <c r="F40" t="s">
        <v>235</v>
      </c>
    </row>
    <row r="41" spans="4:6" x14ac:dyDescent="0.35">
      <c r="D41" t="s">
        <v>34</v>
      </c>
      <c r="F41" t="s">
        <v>48</v>
      </c>
    </row>
    <row r="42" spans="4:6" x14ac:dyDescent="0.35">
      <c r="D42" t="s">
        <v>46</v>
      </c>
      <c r="F42" t="s">
        <v>49</v>
      </c>
    </row>
    <row r="43" spans="4:6" x14ac:dyDescent="0.35">
      <c r="D43" t="s">
        <v>154</v>
      </c>
      <c r="F43" t="s">
        <v>56</v>
      </c>
    </row>
    <row r="44" spans="4:6" x14ac:dyDescent="0.35">
      <c r="D44" s="20" t="s">
        <v>78</v>
      </c>
    </row>
    <row r="45" spans="4:6" x14ac:dyDescent="0.35">
      <c r="D45" s="20" t="s">
        <v>81</v>
      </c>
    </row>
    <row r="46" spans="4:6" x14ac:dyDescent="0.35">
      <c r="D46" s="20" t="s">
        <v>13</v>
      </c>
      <c r="F46" s="1" t="s">
        <v>168</v>
      </c>
    </row>
    <row r="47" spans="4:6" x14ac:dyDescent="0.35">
      <c r="D47" t="s">
        <v>15</v>
      </c>
      <c r="F47" t="s">
        <v>169</v>
      </c>
    </row>
    <row r="48" spans="4:6" x14ac:dyDescent="0.35">
      <c r="D48" t="s">
        <v>16</v>
      </c>
      <c r="F48" t="s">
        <v>170</v>
      </c>
    </row>
    <row r="49" spans="4:4" x14ac:dyDescent="0.35">
      <c r="D49" t="s">
        <v>32</v>
      </c>
    </row>
    <row r="50" spans="4:4" x14ac:dyDescent="0.35">
      <c r="D50" t="s">
        <v>184</v>
      </c>
    </row>
    <row r="51" spans="4:4" x14ac:dyDescent="0.35">
      <c r="D51" s="1" t="s">
        <v>138</v>
      </c>
    </row>
    <row r="52" spans="4:4" x14ac:dyDescent="0.35">
      <c r="D52" t="s">
        <v>34</v>
      </c>
    </row>
    <row r="53" spans="4:4" x14ac:dyDescent="0.35">
      <c r="D53" t="s">
        <v>46</v>
      </c>
    </row>
    <row r="54" spans="4:4" x14ac:dyDescent="0.35">
      <c r="D54" t="s">
        <v>154</v>
      </c>
    </row>
    <row r="55" spans="4:4" x14ac:dyDescent="0.35">
      <c r="D55" s="20" t="s">
        <v>81</v>
      </c>
    </row>
    <row r="56" spans="4:4" x14ac:dyDescent="0.35">
      <c r="D56" s="20" t="s">
        <v>13</v>
      </c>
    </row>
    <row r="57" spans="4:4" x14ac:dyDescent="0.35">
      <c r="D57" t="s">
        <v>15</v>
      </c>
    </row>
    <row r="58" spans="4:4" x14ac:dyDescent="0.35">
      <c r="D58" t="s">
        <v>16</v>
      </c>
    </row>
    <row r="60" spans="4:4" x14ac:dyDescent="0.35">
      <c r="D60" s="3" t="s">
        <v>51</v>
      </c>
    </row>
    <row r="61" spans="4:4" x14ac:dyDescent="0.35">
      <c r="D61" t="s">
        <v>52</v>
      </c>
    </row>
    <row r="62" spans="4:4" x14ac:dyDescent="0.35">
      <c r="D62" t="s">
        <v>53</v>
      </c>
    </row>
    <row r="63" spans="4:4" x14ac:dyDescent="0.35">
      <c r="D63" t="s">
        <v>34</v>
      </c>
    </row>
    <row r="64" spans="4:4" x14ac:dyDescent="0.35">
      <c r="D64" t="s">
        <v>46</v>
      </c>
    </row>
    <row r="65" spans="4:4" x14ac:dyDescent="0.35">
      <c r="D65" s="20" t="s">
        <v>36</v>
      </c>
    </row>
    <row r="66" spans="4:4" x14ac:dyDescent="0.35">
      <c r="D66" s="20" t="s">
        <v>13</v>
      </c>
    </row>
    <row r="67" spans="4:4" x14ac:dyDescent="0.35">
      <c r="D67" t="s">
        <v>15</v>
      </c>
    </row>
    <row r="68" spans="4:4" x14ac:dyDescent="0.35">
      <c r="D68" t="s">
        <v>16</v>
      </c>
    </row>
    <row r="69" spans="4:4" x14ac:dyDescent="0.35">
      <c r="D69" t="s">
        <v>32</v>
      </c>
    </row>
    <row r="71" spans="4:4" x14ac:dyDescent="0.35">
      <c r="D71" s="1" t="s">
        <v>54</v>
      </c>
    </row>
    <row r="72" spans="4:4" x14ac:dyDescent="0.35">
      <c r="D72" t="s">
        <v>34</v>
      </c>
    </row>
    <row r="73" spans="4:4" x14ac:dyDescent="0.35">
      <c r="D73" t="s">
        <v>46</v>
      </c>
    </row>
    <row r="74" spans="4:4" x14ac:dyDescent="0.35">
      <c r="D74" s="20" t="s">
        <v>36</v>
      </c>
    </row>
    <row r="75" spans="4:4" x14ac:dyDescent="0.35">
      <c r="D75" s="20" t="s">
        <v>13</v>
      </c>
    </row>
    <row r="76" spans="4:4" x14ac:dyDescent="0.35">
      <c r="D76" t="s">
        <v>15</v>
      </c>
    </row>
    <row r="77" spans="4:4" x14ac:dyDescent="0.35">
      <c r="D77" t="s">
        <v>16</v>
      </c>
    </row>
  </sheetData>
  <sheetProtection algorithmName="SHA-512" hashValue="AtNti6oPIS+hiwt+AojOfxlxspHNtGzMS7PeqmQ5DnN/PD0E4BjoZEDjJ1DPApSAVSBeNWonfW3jBKle1SRvow==" saltValue="WZOaSlCfUXEGLMZOe1ZFjg==" spinCount="100000" sheet="1" objects="1" scenarios="1" selectLockedCells="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DE55-2F2E-4ED1-A034-AE06A8514F6B}">
  <sheetPr codeName="Sheet3"/>
  <dimension ref="B1:N37"/>
  <sheetViews>
    <sheetView zoomScale="90" zoomScaleNormal="90" workbookViewId="0">
      <selection activeCell="M15" sqref="M15"/>
    </sheetView>
  </sheetViews>
  <sheetFormatPr defaultRowHeight="14.5" x14ac:dyDescent="0.35"/>
  <cols>
    <col min="2" max="2" width="33.54296875" customWidth="1"/>
    <col min="6" max="6" width="30.08984375" customWidth="1"/>
    <col min="7" max="7" width="10.453125" customWidth="1"/>
    <col min="8" max="8" width="11.08984375" customWidth="1"/>
    <col min="9" max="9" width="11.54296875" customWidth="1"/>
    <col min="11" max="11" width="30.54296875" customWidth="1"/>
    <col min="13" max="13" width="10.26953125" customWidth="1"/>
    <col min="14" max="14" width="10" customWidth="1"/>
  </cols>
  <sheetData>
    <row r="1" spans="2:14" ht="15" thickBot="1" x14ac:dyDescent="0.4"/>
    <row r="2" spans="2:14" ht="15.5" x14ac:dyDescent="0.35">
      <c r="B2" s="43" t="s">
        <v>20</v>
      </c>
      <c r="C2" s="27"/>
      <c r="F2" s="44" t="s">
        <v>27</v>
      </c>
      <c r="G2" s="26"/>
      <c r="H2" s="26"/>
      <c r="I2" s="27"/>
      <c r="K2" s="44" t="s">
        <v>216</v>
      </c>
      <c r="L2" s="26"/>
      <c r="M2" s="26"/>
      <c r="N2" s="27"/>
    </row>
    <row r="3" spans="2:14" x14ac:dyDescent="0.35">
      <c r="B3" s="28" t="s">
        <v>24</v>
      </c>
      <c r="C3" s="5"/>
      <c r="F3" s="34" t="s">
        <v>26</v>
      </c>
      <c r="I3" s="5"/>
      <c r="K3" s="34" t="s">
        <v>202</v>
      </c>
      <c r="N3" s="5"/>
    </row>
    <row r="4" spans="2:14" x14ac:dyDescent="0.35">
      <c r="B4" s="28"/>
      <c r="C4" s="5"/>
      <c r="F4" s="341" t="s">
        <v>289</v>
      </c>
      <c r="G4" s="342"/>
      <c r="H4" s="342"/>
      <c r="I4" s="343"/>
      <c r="K4" s="332" t="s">
        <v>383</v>
      </c>
      <c r="L4" s="333"/>
      <c r="M4" s="333"/>
      <c r="N4" s="334"/>
    </row>
    <row r="5" spans="2:14" ht="14.5" customHeight="1" x14ac:dyDescent="0.35">
      <c r="B5" s="338" t="s">
        <v>288</v>
      </c>
      <c r="C5" s="339"/>
      <c r="F5" s="35" t="s">
        <v>63</v>
      </c>
      <c r="G5" s="22" t="s">
        <v>64</v>
      </c>
      <c r="H5" s="41" t="s">
        <v>313</v>
      </c>
      <c r="I5" s="36" t="s">
        <v>3</v>
      </c>
      <c r="K5" s="332"/>
      <c r="L5" s="333"/>
      <c r="M5" s="333"/>
      <c r="N5" s="334"/>
    </row>
    <row r="6" spans="2:14" ht="15.5" x14ac:dyDescent="0.35">
      <c r="B6" s="29" t="s">
        <v>1</v>
      </c>
      <c r="C6" s="33" t="s">
        <v>25</v>
      </c>
      <c r="F6" s="66" t="s">
        <v>315</v>
      </c>
      <c r="G6" s="67">
        <v>5</v>
      </c>
      <c r="H6" s="112">
        <v>500</v>
      </c>
      <c r="I6" s="42">
        <f>H6*G6</f>
        <v>2500</v>
      </c>
      <c r="K6" s="332"/>
      <c r="L6" s="333"/>
      <c r="M6" s="333"/>
      <c r="N6" s="334"/>
    </row>
    <row r="7" spans="2:14" x14ac:dyDescent="0.35">
      <c r="B7" s="31" t="s">
        <v>282</v>
      </c>
      <c r="C7" s="64">
        <v>15000</v>
      </c>
      <c r="F7" s="66" t="s">
        <v>392</v>
      </c>
      <c r="G7" s="67">
        <v>5.25</v>
      </c>
      <c r="H7" s="112">
        <v>2000</v>
      </c>
      <c r="I7" s="42">
        <f>H7*G7</f>
        <v>10500</v>
      </c>
      <c r="K7" s="332"/>
      <c r="L7" s="333"/>
      <c r="M7" s="333"/>
      <c r="N7" s="334"/>
    </row>
    <row r="8" spans="2:14" ht="15" thickBot="1" x14ac:dyDescent="0.4">
      <c r="B8" s="9" t="s">
        <v>281</v>
      </c>
      <c r="C8" s="64">
        <v>6</v>
      </c>
      <c r="F8" s="66"/>
      <c r="G8" s="67"/>
      <c r="H8" s="112"/>
      <c r="I8" s="42">
        <f>H8*G8</f>
        <v>0</v>
      </c>
      <c r="K8" s="344"/>
      <c r="L8" s="345"/>
      <c r="M8" s="345"/>
      <c r="N8" s="346"/>
    </row>
    <row r="9" spans="2:14" x14ac:dyDescent="0.35">
      <c r="B9" s="9" t="s">
        <v>391</v>
      </c>
      <c r="C9" s="11">
        <f>C7/C8</f>
        <v>2500</v>
      </c>
      <c r="F9" s="66"/>
      <c r="G9" s="67"/>
      <c r="H9" s="112"/>
      <c r="I9" s="42">
        <f>H9*G9</f>
        <v>0</v>
      </c>
      <c r="K9" s="347" t="s">
        <v>216</v>
      </c>
      <c r="L9" s="348"/>
      <c r="M9" s="348"/>
      <c r="N9" s="349"/>
    </row>
    <row r="10" spans="2:14" ht="15.5" x14ac:dyDescent="0.35">
      <c r="B10" s="9" t="s">
        <v>283</v>
      </c>
      <c r="C10" s="65">
        <v>6</v>
      </c>
      <c r="F10" s="73"/>
      <c r="G10" s="72"/>
      <c r="H10" s="207"/>
      <c r="I10" s="17">
        <f>H10*G10</f>
        <v>0</v>
      </c>
      <c r="K10" s="13" t="s">
        <v>203</v>
      </c>
      <c r="L10" s="12" t="s">
        <v>4</v>
      </c>
      <c r="M10" s="12" t="s">
        <v>5</v>
      </c>
      <c r="N10" s="14" t="s">
        <v>3</v>
      </c>
    </row>
    <row r="11" spans="2:14" ht="15" thickBot="1" x14ac:dyDescent="0.4">
      <c r="B11" s="9" t="s">
        <v>284</v>
      </c>
      <c r="C11" s="421">
        <f>(C7*C10)/43560</f>
        <v>2.0661157024793386</v>
      </c>
      <c r="F11" s="208" t="s">
        <v>312</v>
      </c>
      <c r="G11" s="209"/>
      <c r="H11" s="210">
        <f>SUM(H6:H10)</f>
        <v>2500</v>
      </c>
      <c r="I11" s="211">
        <f>SUM(I6:I10)</f>
        <v>13000</v>
      </c>
      <c r="K11" s="9" t="s">
        <v>208</v>
      </c>
      <c r="L11" s="113">
        <f>((((C7/C13)*2)+(C12*C13*2)+(15*4)+(C14*4))/20)*2</f>
        <v>225.49473684210525</v>
      </c>
      <c r="M11" s="72">
        <v>4.5</v>
      </c>
      <c r="N11" s="17">
        <f t="shared" ref="N11:N16" si="0">L11*M11</f>
        <v>1014.7263157894737</v>
      </c>
    </row>
    <row r="12" spans="2:14" x14ac:dyDescent="0.35">
      <c r="B12" s="9" t="s">
        <v>285</v>
      </c>
      <c r="C12" s="64">
        <v>12</v>
      </c>
      <c r="F12" s="206" t="s">
        <v>314</v>
      </c>
      <c r="G12" s="203"/>
      <c r="H12" s="205"/>
      <c r="I12" s="204"/>
      <c r="K12" s="9" t="s">
        <v>204</v>
      </c>
      <c r="L12" s="8">
        <v>4</v>
      </c>
      <c r="M12" s="72">
        <v>9</v>
      </c>
      <c r="N12" s="17">
        <f t="shared" si="0"/>
        <v>36</v>
      </c>
    </row>
    <row r="13" spans="2:14" ht="15" thickBot="1" x14ac:dyDescent="0.4">
      <c r="B13" s="9" t="s">
        <v>286</v>
      </c>
      <c r="C13" s="64">
        <v>19</v>
      </c>
      <c r="K13" s="9" t="s">
        <v>205</v>
      </c>
      <c r="L13" s="113">
        <f>(((C7/C13)*2)+(C13*C12*2)+(15*4)+(C14*4))*3</f>
        <v>6764.8421052631575</v>
      </c>
      <c r="M13" s="72">
        <v>0.09</v>
      </c>
      <c r="N13" s="17">
        <f t="shared" si="0"/>
        <v>608.83578947368414</v>
      </c>
    </row>
    <row r="14" spans="2:14" ht="15.5" x14ac:dyDescent="0.35">
      <c r="B14" s="288" t="s">
        <v>382</v>
      </c>
      <c r="C14" s="289">
        <v>40</v>
      </c>
      <c r="F14" s="43" t="s">
        <v>201</v>
      </c>
      <c r="G14" s="26"/>
      <c r="H14" s="27"/>
      <c r="K14" s="9" t="s">
        <v>209</v>
      </c>
      <c r="L14" s="113">
        <f>(L11/2)+((L11/2)*2)+12</f>
        <v>350.2421052631579</v>
      </c>
      <c r="M14" s="72">
        <f>5.49/25</f>
        <v>0.21960000000000002</v>
      </c>
      <c r="N14" s="17">
        <f t="shared" si="0"/>
        <v>76.913166315789482</v>
      </c>
    </row>
    <row r="15" spans="2:14" ht="15" thickBot="1" x14ac:dyDescent="0.4">
      <c r="B15" s="10" t="s">
        <v>287</v>
      </c>
      <c r="C15" s="422">
        <f>(((C7/C13)+(C14*2))*((C12*C13)+30))/43560</f>
        <v>5.1497752646078006</v>
      </c>
      <c r="F15" s="28" t="s">
        <v>65</v>
      </c>
      <c r="H15" s="5"/>
      <c r="K15" s="9" t="s">
        <v>206</v>
      </c>
      <c r="L15" s="8">
        <v>1</v>
      </c>
      <c r="M15" s="72">
        <v>30</v>
      </c>
      <c r="N15" s="17">
        <f t="shared" si="0"/>
        <v>30</v>
      </c>
    </row>
    <row r="16" spans="2:14" x14ac:dyDescent="0.35">
      <c r="F16" s="332" t="s">
        <v>68</v>
      </c>
      <c r="G16" s="333"/>
      <c r="H16" s="334"/>
      <c r="K16" s="9" t="s">
        <v>207</v>
      </c>
      <c r="L16" s="8">
        <v>1</v>
      </c>
      <c r="M16" s="72">
        <v>250</v>
      </c>
      <c r="N16" s="17">
        <f t="shared" si="0"/>
        <v>250</v>
      </c>
    </row>
    <row r="17" spans="2:14" ht="15" thickBot="1" x14ac:dyDescent="0.4">
      <c r="F17" s="332"/>
      <c r="G17" s="333"/>
      <c r="H17" s="334"/>
      <c r="K17" s="15" t="s">
        <v>210</v>
      </c>
      <c r="L17" s="16"/>
      <c r="M17" s="16"/>
      <c r="N17" s="40">
        <f>SUM(N11:N16)</f>
        <v>2016.4752715789473</v>
      </c>
    </row>
    <row r="18" spans="2:14" ht="16" thickBot="1" x14ac:dyDescent="0.4">
      <c r="B18" s="43" t="s">
        <v>23</v>
      </c>
      <c r="C18" s="26"/>
      <c r="D18" s="27"/>
      <c r="F18" s="332"/>
      <c r="G18" s="333"/>
      <c r="H18" s="334"/>
    </row>
    <row r="19" spans="2:14" x14ac:dyDescent="0.35">
      <c r="B19" s="28" t="s">
        <v>21</v>
      </c>
      <c r="D19" s="5"/>
      <c r="F19" s="338"/>
      <c r="G19" s="340"/>
      <c r="H19" s="339"/>
      <c r="K19" s="347" t="s">
        <v>217</v>
      </c>
      <c r="L19" s="348"/>
      <c r="M19" s="348"/>
      <c r="N19" s="349"/>
    </row>
    <row r="20" spans="2:14" ht="15.5" x14ac:dyDescent="0.35">
      <c r="B20" s="332" t="s">
        <v>67</v>
      </c>
      <c r="C20" s="333"/>
      <c r="D20" s="334"/>
      <c r="E20" s="189"/>
      <c r="F20" s="38" t="s">
        <v>197</v>
      </c>
      <c r="G20" s="25" t="s">
        <v>66</v>
      </c>
      <c r="H20" s="39" t="s">
        <v>3</v>
      </c>
      <c r="K20" s="13" t="s">
        <v>203</v>
      </c>
      <c r="L20" s="12" t="s">
        <v>4</v>
      </c>
      <c r="M20" s="12" t="s">
        <v>5</v>
      </c>
      <c r="N20" s="14" t="s">
        <v>3</v>
      </c>
    </row>
    <row r="21" spans="2:14" ht="15" thickBot="1" x14ac:dyDescent="0.4">
      <c r="B21" s="332"/>
      <c r="C21" s="333"/>
      <c r="D21" s="334"/>
      <c r="E21" s="189"/>
      <c r="F21" s="68" t="s">
        <v>196</v>
      </c>
      <c r="G21" s="69">
        <v>2.2000000000000002</v>
      </c>
      <c r="H21" s="37">
        <f>C9*G21</f>
        <v>5500</v>
      </c>
      <c r="K21" s="9" t="s">
        <v>211</v>
      </c>
      <c r="L21" s="113">
        <f>(((C7/C13)*2)+(C12*C13*2)+(15*4)+(C14*4))/20</f>
        <v>112.74736842105263</v>
      </c>
      <c r="M21" s="72"/>
      <c r="N21" s="17">
        <f t="shared" ref="N21:N26" si="1">L21*M21</f>
        <v>0</v>
      </c>
    </row>
    <row r="22" spans="2:14" ht="15" thickBot="1" x14ac:dyDescent="0.4">
      <c r="B22" s="332"/>
      <c r="C22" s="333"/>
      <c r="D22" s="334"/>
      <c r="E22" s="189"/>
      <c r="K22" s="9" t="s">
        <v>204</v>
      </c>
      <c r="L22" s="8">
        <v>4</v>
      </c>
      <c r="M22" s="72"/>
      <c r="N22" s="17">
        <f t="shared" si="1"/>
        <v>0</v>
      </c>
    </row>
    <row r="23" spans="2:14" ht="15.5" x14ac:dyDescent="0.35">
      <c r="B23" s="29" t="s">
        <v>1</v>
      </c>
      <c r="C23" s="23" t="s">
        <v>22</v>
      </c>
      <c r="D23" s="30" t="s">
        <v>11</v>
      </c>
      <c r="E23" s="59"/>
      <c r="F23" s="44" t="s">
        <v>69</v>
      </c>
      <c r="G23" s="26"/>
      <c r="H23" s="26"/>
      <c r="I23" s="27"/>
      <c r="K23" s="9" t="s">
        <v>205</v>
      </c>
      <c r="L23" s="113">
        <f>((((C7/C13)*2)+(C12*C13*2)+(15*4)+(C14*4))*6)</f>
        <v>13529.684210526315</v>
      </c>
      <c r="M23" s="72"/>
      <c r="N23" s="17">
        <f t="shared" si="1"/>
        <v>0</v>
      </c>
    </row>
    <row r="24" spans="2:14" x14ac:dyDescent="0.35">
      <c r="B24" s="31" t="s">
        <v>17</v>
      </c>
      <c r="C24" s="70"/>
      <c r="D24" s="24" t="s">
        <v>12</v>
      </c>
      <c r="E24" s="202"/>
      <c r="F24" s="34" t="s">
        <v>40</v>
      </c>
      <c r="I24" s="5"/>
      <c r="K24" s="9" t="s">
        <v>212</v>
      </c>
      <c r="L24" s="113">
        <f>(L21*6)+(24)</f>
        <v>700.48421052631579</v>
      </c>
      <c r="M24" s="72"/>
      <c r="N24" s="17">
        <f t="shared" si="1"/>
        <v>0</v>
      </c>
    </row>
    <row r="25" spans="2:14" x14ac:dyDescent="0.35">
      <c r="B25" s="31" t="s">
        <v>191</v>
      </c>
      <c r="C25" s="70"/>
      <c r="D25" s="24" t="s">
        <v>12</v>
      </c>
      <c r="E25" s="202"/>
      <c r="F25" s="332" t="s">
        <v>198</v>
      </c>
      <c r="G25" s="333"/>
      <c r="H25" s="333"/>
      <c r="I25" s="334"/>
      <c r="K25" s="9" t="s">
        <v>206</v>
      </c>
      <c r="L25" s="8">
        <v>1</v>
      </c>
      <c r="M25" s="72"/>
      <c r="N25" s="17">
        <f t="shared" si="1"/>
        <v>0</v>
      </c>
    </row>
    <row r="26" spans="2:14" x14ac:dyDescent="0.35">
      <c r="B26" s="31" t="s">
        <v>18</v>
      </c>
      <c r="C26" s="70"/>
      <c r="D26" s="24" t="s">
        <v>12</v>
      </c>
      <c r="E26" s="202"/>
      <c r="F26" s="332"/>
      <c r="G26" s="333"/>
      <c r="H26" s="333"/>
      <c r="I26" s="334"/>
      <c r="K26" s="9" t="s">
        <v>207</v>
      </c>
      <c r="L26" s="8">
        <v>1</v>
      </c>
      <c r="M26" s="72"/>
      <c r="N26" s="17">
        <f t="shared" si="1"/>
        <v>0</v>
      </c>
    </row>
    <row r="27" spans="2:14" ht="15" thickBot="1" x14ac:dyDescent="0.4">
      <c r="B27" s="31" t="s">
        <v>305</v>
      </c>
      <c r="C27" s="196">
        <f>SUM(C24:C26)</f>
        <v>0</v>
      </c>
      <c r="D27" s="24" t="s">
        <v>12</v>
      </c>
      <c r="E27" s="202"/>
      <c r="F27" s="332"/>
      <c r="G27" s="333"/>
      <c r="H27" s="333"/>
      <c r="I27" s="334"/>
      <c r="K27" s="15" t="s">
        <v>210</v>
      </c>
      <c r="L27" s="16"/>
      <c r="M27" s="16"/>
      <c r="N27" s="40">
        <f>SUM(N21:N26)</f>
        <v>0</v>
      </c>
    </row>
    <row r="28" spans="2:14" ht="15" thickBot="1" x14ac:dyDescent="0.4">
      <c r="B28" s="31" t="s">
        <v>306</v>
      </c>
      <c r="C28" s="83">
        <v>0.02</v>
      </c>
      <c r="D28" s="24"/>
      <c r="E28" s="202"/>
      <c r="F28" s="332"/>
      <c r="G28" s="333"/>
      <c r="H28" s="333"/>
      <c r="I28" s="334"/>
    </row>
    <row r="29" spans="2:14" x14ac:dyDescent="0.35">
      <c r="B29" s="4"/>
      <c r="C29" s="197"/>
      <c r="D29" s="195"/>
      <c r="E29" s="202"/>
      <c r="F29" s="338"/>
      <c r="G29" s="340"/>
      <c r="H29" s="340"/>
      <c r="I29" s="339"/>
      <c r="K29" s="347" t="s">
        <v>218</v>
      </c>
      <c r="L29" s="348"/>
      <c r="M29" s="348"/>
      <c r="N29" s="349"/>
    </row>
    <row r="30" spans="2:14" ht="15.5" x14ac:dyDescent="0.35">
      <c r="B30" s="335" t="s">
        <v>59</v>
      </c>
      <c r="C30" s="336"/>
      <c r="D30" s="337"/>
      <c r="E30" s="164"/>
      <c r="F30" s="13" t="s">
        <v>1</v>
      </c>
      <c r="G30" s="12" t="s">
        <v>4</v>
      </c>
      <c r="H30" s="12" t="s">
        <v>5</v>
      </c>
      <c r="I30" s="14" t="s">
        <v>3</v>
      </c>
      <c r="K30" s="13" t="s">
        <v>203</v>
      </c>
      <c r="L30" s="12" t="s">
        <v>4</v>
      </c>
      <c r="M30" s="12" t="s">
        <v>5</v>
      </c>
      <c r="N30" s="14" t="s">
        <v>3</v>
      </c>
    </row>
    <row r="31" spans="2:14" x14ac:dyDescent="0.35">
      <c r="B31" s="31" t="s">
        <v>19</v>
      </c>
      <c r="C31" s="70">
        <v>100</v>
      </c>
      <c r="D31" s="24" t="s">
        <v>12</v>
      </c>
      <c r="E31" s="202"/>
      <c r="F31" s="9" t="s">
        <v>200</v>
      </c>
      <c r="G31" s="8">
        <f>C7</f>
        <v>15000</v>
      </c>
      <c r="H31" s="72">
        <v>0.11</v>
      </c>
      <c r="I31" s="17">
        <f t="shared" ref="I31:I36" si="2">G31*H31</f>
        <v>1650</v>
      </c>
      <c r="K31" s="9" t="s">
        <v>213</v>
      </c>
      <c r="L31" s="113">
        <f>((C7/C13)*2)+(C12*C13*2)+(15*4)+(C14*4)</f>
        <v>2254.9473684210525</v>
      </c>
      <c r="M31" s="72"/>
      <c r="N31" s="17">
        <f t="shared" ref="N31:N32" si="3">L31*M31</f>
        <v>0</v>
      </c>
    </row>
    <row r="32" spans="2:14" ht="15" thickBot="1" x14ac:dyDescent="0.4">
      <c r="B32" s="32" t="s">
        <v>306</v>
      </c>
      <c r="C32" s="84">
        <v>0.02</v>
      </c>
      <c r="D32" s="198"/>
      <c r="F32" s="9" t="s">
        <v>199</v>
      </c>
      <c r="G32" s="8">
        <f>(C12*C13)+50</f>
        <v>278</v>
      </c>
      <c r="H32" s="72">
        <v>0.65</v>
      </c>
      <c r="I32" s="17">
        <f t="shared" si="2"/>
        <v>180.70000000000002</v>
      </c>
      <c r="K32" s="9" t="s">
        <v>214</v>
      </c>
      <c r="L32" s="113">
        <f>L31</f>
        <v>2254.9473684210525</v>
      </c>
      <c r="M32" s="72"/>
      <c r="N32" s="17">
        <f t="shared" si="3"/>
        <v>0</v>
      </c>
    </row>
    <row r="33" spans="6:14" ht="15" thickBot="1" x14ac:dyDescent="0.4">
      <c r="F33" s="9" t="s">
        <v>151</v>
      </c>
      <c r="G33" s="113">
        <f>C9*2</f>
        <v>5000</v>
      </c>
      <c r="H33" s="72">
        <v>0.33</v>
      </c>
      <c r="I33" s="17">
        <f t="shared" si="2"/>
        <v>1650</v>
      </c>
      <c r="K33" s="15" t="s">
        <v>210</v>
      </c>
      <c r="L33" s="16"/>
      <c r="M33" s="16"/>
      <c r="N33" s="40">
        <f>SUM(N31:N32)</f>
        <v>0</v>
      </c>
    </row>
    <row r="34" spans="6:14" x14ac:dyDescent="0.35">
      <c r="F34" s="9" t="s">
        <v>6</v>
      </c>
      <c r="G34" s="8">
        <f>C13+1</f>
        <v>20</v>
      </c>
      <c r="H34" s="72">
        <v>1.59</v>
      </c>
      <c r="I34" s="17">
        <f t="shared" si="2"/>
        <v>31.8</v>
      </c>
    </row>
    <row r="35" spans="6:14" x14ac:dyDescent="0.35">
      <c r="F35" s="9" t="s">
        <v>7</v>
      </c>
      <c r="G35" s="8">
        <f>C13</f>
        <v>19</v>
      </c>
      <c r="H35" s="72">
        <v>2.59</v>
      </c>
      <c r="I35" s="17">
        <f t="shared" si="2"/>
        <v>49.209999999999994</v>
      </c>
    </row>
    <row r="36" spans="6:14" x14ac:dyDescent="0.35">
      <c r="F36" s="9" t="s">
        <v>152</v>
      </c>
      <c r="G36" s="8">
        <v>1</v>
      </c>
      <c r="H36" s="72">
        <v>100</v>
      </c>
      <c r="I36" s="17">
        <f t="shared" si="2"/>
        <v>100</v>
      </c>
    </row>
    <row r="37" spans="6:14" ht="15" thickBot="1" x14ac:dyDescent="0.4">
      <c r="F37" s="15" t="s">
        <v>8</v>
      </c>
      <c r="G37" s="16"/>
      <c r="H37" s="16"/>
      <c r="I37" s="40">
        <f>SUM(I31:I36)</f>
        <v>3661.71</v>
      </c>
    </row>
  </sheetData>
  <sheetProtection algorithmName="SHA-512" hashValue="q14jV5L1MCYDr4sb2sKm/fECkQhTAregYpLGCBjnEFwyg0ZkgT6i5/LxF5x8IzLANT5EYlU6MX6C8C/GUuT3pg==" saltValue="Zg8IWu4OsesNouLmzyxJUg==" spinCount="100000" sheet="1" objects="1" scenarios="1" selectLockedCells="1"/>
  <mergeCells count="10">
    <mergeCell ref="F4:I4"/>
    <mergeCell ref="K4:N8"/>
    <mergeCell ref="K9:N9"/>
    <mergeCell ref="K19:N19"/>
    <mergeCell ref="K29:N29"/>
    <mergeCell ref="B20:D22"/>
    <mergeCell ref="B30:D30"/>
    <mergeCell ref="B5:C5"/>
    <mergeCell ref="F16:H19"/>
    <mergeCell ref="F25:I29"/>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K43"/>
  <sheetViews>
    <sheetView showGridLines="0" zoomScale="70" zoomScaleNormal="70" workbookViewId="0">
      <selection activeCell="C13" sqref="C13"/>
    </sheetView>
  </sheetViews>
  <sheetFormatPr defaultRowHeight="14.5" x14ac:dyDescent="0.35"/>
  <cols>
    <col min="1" max="1" width="2.54296875" customWidth="1"/>
    <col min="2" max="2" width="41.7265625" customWidth="1"/>
    <col min="3" max="4" width="11.1796875" customWidth="1"/>
    <col min="5" max="5" width="10.81640625" customWidth="1"/>
    <col min="6" max="6" width="3.7265625" customWidth="1"/>
    <col min="7" max="7" width="46.453125" customWidth="1"/>
    <col min="8" max="8" width="11.26953125" customWidth="1"/>
    <col min="9" max="9" width="10.1796875" bestFit="1" customWidth="1"/>
    <col min="10" max="10" width="10.453125" customWidth="1"/>
    <col min="11" max="11" width="10.54296875" bestFit="1" customWidth="1"/>
  </cols>
  <sheetData>
    <row r="1" spans="2:11" ht="28.5" x14ac:dyDescent="0.65">
      <c r="B1" s="191" t="s">
        <v>316</v>
      </c>
    </row>
    <row r="2" spans="2:11" ht="15.5" customHeight="1" x14ac:dyDescent="0.35">
      <c r="B2" s="350" t="s">
        <v>384</v>
      </c>
      <c r="C2" s="350"/>
      <c r="D2" s="350"/>
      <c r="E2" s="350"/>
      <c r="F2" s="350"/>
      <c r="G2" s="350"/>
      <c r="H2" s="350"/>
      <c r="I2" s="350"/>
      <c r="J2" s="350"/>
    </row>
    <row r="3" spans="2:11" ht="28.5" customHeight="1" x14ac:dyDescent="0.35">
      <c r="B3" s="350"/>
      <c r="C3" s="350"/>
      <c r="D3" s="350"/>
      <c r="E3" s="350"/>
      <c r="F3" s="350"/>
      <c r="G3" s="350"/>
      <c r="H3" s="350"/>
      <c r="I3" s="350"/>
      <c r="J3" s="350"/>
    </row>
    <row r="5" spans="2:11" ht="15" thickBot="1" x14ac:dyDescent="0.4"/>
    <row r="6" spans="2:11" ht="15.5" x14ac:dyDescent="0.35">
      <c r="B6" s="43" t="s">
        <v>230</v>
      </c>
      <c r="C6" s="26"/>
      <c r="D6" s="26"/>
      <c r="E6" s="27"/>
      <c r="G6" s="43" t="s">
        <v>231</v>
      </c>
      <c r="H6" s="26"/>
      <c r="I6" s="26"/>
      <c r="J6" s="27"/>
    </row>
    <row r="7" spans="2:11" x14ac:dyDescent="0.35">
      <c r="B7" s="28" t="s">
        <v>70</v>
      </c>
      <c r="E7" s="5"/>
      <c r="G7" s="28" t="s">
        <v>72</v>
      </c>
      <c r="J7" s="5"/>
    </row>
    <row r="8" spans="2:11" ht="15" customHeight="1" x14ac:dyDescent="0.35">
      <c r="B8" s="332" t="s">
        <v>317</v>
      </c>
      <c r="C8" s="333"/>
      <c r="D8" s="333"/>
      <c r="E8" s="334"/>
      <c r="G8" s="332" t="s">
        <v>73</v>
      </c>
      <c r="H8" s="333"/>
      <c r="I8" s="333"/>
      <c r="J8" s="334"/>
    </row>
    <row r="9" spans="2:11" x14ac:dyDescent="0.35">
      <c r="B9" s="332"/>
      <c r="C9" s="333"/>
      <c r="D9" s="333"/>
      <c r="E9" s="334"/>
      <c r="G9" s="332"/>
      <c r="H9" s="333"/>
      <c r="I9" s="333"/>
      <c r="J9" s="334"/>
    </row>
    <row r="10" spans="2:11" x14ac:dyDescent="0.35">
      <c r="B10" s="338"/>
      <c r="C10" s="340"/>
      <c r="D10" s="340"/>
      <c r="E10" s="339"/>
      <c r="G10" s="332"/>
      <c r="H10" s="333"/>
      <c r="I10" s="333"/>
      <c r="J10" s="334"/>
    </row>
    <row r="11" spans="2:11" ht="29" x14ac:dyDescent="0.35">
      <c r="B11" s="35" t="s">
        <v>10</v>
      </c>
      <c r="C11" s="54" t="s">
        <v>292</v>
      </c>
      <c r="D11" s="41" t="s">
        <v>58</v>
      </c>
      <c r="E11" s="36" t="s">
        <v>22</v>
      </c>
      <c r="G11" s="35" t="s">
        <v>10</v>
      </c>
      <c r="H11" s="54" t="s">
        <v>292</v>
      </c>
      <c r="I11" s="41" t="s">
        <v>58</v>
      </c>
      <c r="J11" s="36" t="s">
        <v>22</v>
      </c>
    </row>
    <row r="12" spans="2:11" x14ac:dyDescent="0.35">
      <c r="B12" s="73" t="s">
        <v>28</v>
      </c>
      <c r="C12" s="74">
        <v>0.5</v>
      </c>
      <c r="D12" s="75">
        <v>40</v>
      </c>
      <c r="E12" s="49">
        <f>C12*D12*('Steps 1-6'!$C$7/1000)</f>
        <v>300</v>
      </c>
      <c r="G12" s="73" t="s">
        <v>46</v>
      </c>
      <c r="H12" s="74">
        <v>0.25</v>
      </c>
      <c r="I12" s="75">
        <v>20</v>
      </c>
      <c r="J12" s="49">
        <f>H12*I12*('Steps 1-6'!$C$7/1000)</f>
        <v>75</v>
      </c>
    </row>
    <row r="13" spans="2:11" x14ac:dyDescent="0.35">
      <c r="B13" s="73" t="s">
        <v>223</v>
      </c>
      <c r="C13" s="74">
        <v>0.25</v>
      </c>
      <c r="D13" s="75">
        <v>80</v>
      </c>
      <c r="E13" s="49">
        <f>C13*D13*('Steps 1-6'!$C$7/1000)</f>
        <v>300</v>
      </c>
      <c r="G13" s="73"/>
      <c r="H13" s="74"/>
      <c r="I13" s="75"/>
      <c r="J13" s="49">
        <f>H13*I13*('Steps 1-6'!$C$7/1000)</f>
        <v>0</v>
      </c>
    </row>
    <row r="14" spans="2:11" x14ac:dyDescent="0.35">
      <c r="B14" s="73" t="s">
        <v>225</v>
      </c>
      <c r="C14" s="74">
        <v>0.5</v>
      </c>
      <c r="D14" s="75">
        <v>80</v>
      </c>
      <c r="E14" s="49">
        <f>C14*D14*('Steps 1-6'!$C$7/1000)</f>
        <v>600</v>
      </c>
      <c r="G14" s="73"/>
      <c r="H14" s="74"/>
      <c r="I14" s="75"/>
      <c r="J14" s="49">
        <f>H14*I14*('Steps 1-6'!$C$7/1000)</f>
        <v>0</v>
      </c>
    </row>
    <row r="15" spans="2:11" x14ac:dyDescent="0.35">
      <c r="B15" s="73"/>
      <c r="C15" s="74"/>
      <c r="D15" s="75"/>
      <c r="E15" s="49">
        <f>C15*D15*('Steps 1-6'!$C$7/1000)</f>
        <v>0</v>
      </c>
      <c r="G15" s="73"/>
      <c r="H15" s="74"/>
      <c r="I15" s="75"/>
      <c r="J15" s="49">
        <f>H15*I15*('Steps 1-6'!$C$7/1000)</f>
        <v>0</v>
      </c>
    </row>
    <row r="16" spans="2:11" x14ac:dyDescent="0.35">
      <c r="B16" s="73"/>
      <c r="C16" s="74"/>
      <c r="D16" s="75"/>
      <c r="E16" s="49">
        <f>C16*D16*('Steps 1-6'!$C$7/1000)</f>
        <v>0</v>
      </c>
      <c r="G16" s="73"/>
      <c r="H16" s="74"/>
      <c r="I16" s="75"/>
      <c r="J16" s="49">
        <f>H16*I16*('Steps 1-6'!$C$7/1000)</f>
        <v>0</v>
      </c>
      <c r="K16" s="114"/>
    </row>
    <row r="17" spans="2:11" ht="15" customHeight="1" x14ac:dyDescent="0.35">
      <c r="B17" s="4"/>
      <c r="E17" s="5"/>
      <c r="G17" s="73"/>
      <c r="H17" s="74"/>
      <c r="I17" s="75"/>
      <c r="J17" s="49">
        <f>H17*I17*('Steps 1-6'!$C$7/1000)</f>
        <v>0</v>
      </c>
    </row>
    <row r="18" spans="2:11" x14ac:dyDescent="0.35">
      <c r="B18" s="28" t="s">
        <v>42</v>
      </c>
      <c r="E18" s="5"/>
      <c r="G18" s="73"/>
      <c r="H18" s="74"/>
      <c r="I18" s="75"/>
      <c r="J18" s="49">
        <f>H18*I18*('Steps 1-6'!$C$7/1000)</f>
        <v>0</v>
      </c>
      <c r="K18" s="114"/>
    </row>
    <row r="19" spans="2:11" x14ac:dyDescent="0.35">
      <c r="B19" s="332" t="s">
        <v>71</v>
      </c>
      <c r="C19" s="333"/>
      <c r="D19" s="333"/>
      <c r="E19" s="334"/>
      <c r="G19" s="4"/>
      <c r="J19" s="5"/>
    </row>
    <row r="20" spans="2:11" x14ac:dyDescent="0.35">
      <c r="B20" s="338"/>
      <c r="C20" s="340"/>
      <c r="D20" s="340"/>
      <c r="E20" s="339"/>
      <c r="G20" s="28" t="s">
        <v>42</v>
      </c>
      <c r="H20" s="171"/>
      <c r="I20" s="171"/>
      <c r="J20" s="172"/>
      <c r="K20" s="114"/>
    </row>
    <row r="21" spans="2:11" x14ac:dyDescent="0.35">
      <c r="B21" s="35" t="s">
        <v>10</v>
      </c>
      <c r="C21" s="22" t="s">
        <v>57</v>
      </c>
      <c r="D21" s="41" t="s">
        <v>58</v>
      </c>
      <c r="E21" s="36" t="s">
        <v>22</v>
      </c>
      <c r="G21" s="332" t="s">
        <v>74</v>
      </c>
      <c r="H21" s="333"/>
      <c r="I21" s="333"/>
      <c r="J21" s="334"/>
    </row>
    <row r="22" spans="2:11" ht="15" customHeight="1" thickBot="1" x14ac:dyDescent="0.4">
      <c r="B22" s="32" t="s">
        <v>60</v>
      </c>
      <c r="C22" s="76">
        <v>0</v>
      </c>
      <c r="D22" s="77">
        <v>0</v>
      </c>
      <c r="E22" s="50">
        <f>C22*D22</f>
        <v>0</v>
      </c>
      <c r="G22" s="338"/>
      <c r="H22" s="340"/>
      <c r="I22" s="340"/>
      <c r="J22" s="339"/>
    </row>
    <row r="23" spans="2:11" ht="30" customHeight="1" thickBot="1" x14ac:dyDescent="0.4">
      <c r="G23" s="35" t="s">
        <v>10</v>
      </c>
      <c r="H23" s="54" t="s">
        <v>292</v>
      </c>
      <c r="I23" s="41" t="s">
        <v>58</v>
      </c>
      <c r="J23" s="36" t="s">
        <v>106</v>
      </c>
    </row>
    <row r="24" spans="2:11" ht="15" customHeight="1" x14ac:dyDescent="0.35">
      <c r="B24" s="43" t="s">
        <v>108</v>
      </c>
      <c r="C24" s="47"/>
      <c r="D24" s="26"/>
      <c r="E24" s="27"/>
      <c r="G24" s="73" t="s">
        <v>60</v>
      </c>
      <c r="H24" s="74"/>
      <c r="I24" s="75"/>
      <c r="J24" s="49">
        <f>H24*I24*('Steps 1-6'!$C$7/1000)</f>
        <v>0</v>
      </c>
    </row>
    <row r="25" spans="2:11" x14ac:dyDescent="0.35">
      <c r="B25" s="28" t="s">
        <v>109</v>
      </c>
      <c r="C25" s="1"/>
      <c r="E25" s="5"/>
      <c r="G25" s="73" t="s">
        <v>44</v>
      </c>
      <c r="H25" s="74">
        <v>2</v>
      </c>
      <c r="I25" s="75">
        <v>18</v>
      </c>
      <c r="J25" s="49">
        <f>H25*I25*('Steps 1-6'!$C$7/1000)</f>
        <v>540</v>
      </c>
    </row>
    <row r="26" spans="2:11" x14ac:dyDescent="0.35">
      <c r="B26" s="332" t="s">
        <v>103</v>
      </c>
      <c r="C26" s="333"/>
      <c r="D26" s="333"/>
      <c r="E26" s="334"/>
      <c r="G26" s="73" t="s">
        <v>75</v>
      </c>
      <c r="H26" s="74">
        <v>3</v>
      </c>
      <c r="I26" s="75">
        <v>18</v>
      </c>
      <c r="J26" s="49">
        <f>H26*I26*('Steps 1-6'!$C$7/1000)</f>
        <v>810</v>
      </c>
    </row>
    <row r="27" spans="2:11" x14ac:dyDescent="0.35">
      <c r="B27" s="332"/>
      <c r="C27" s="333"/>
      <c r="D27" s="333"/>
      <c r="E27" s="334"/>
      <c r="G27" s="73" t="s">
        <v>76</v>
      </c>
      <c r="H27" s="74">
        <v>3</v>
      </c>
      <c r="I27" s="75">
        <v>18</v>
      </c>
      <c r="J27" s="49">
        <f>H27*I27*('Steps 1-6'!$C$7/1000)</f>
        <v>810</v>
      </c>
    </row>
    <row r="28" spans="2:11" x14ac:dyDescent="0.35">
      <c r="B28" s="338"/>
      <c r="C28" s="340"/>
      <c r="D28" s="340"/>
      <c r="E28" s="339"/>
      <c r="G28" s="73" t="s">
        <v>139</v>
      </c>
      <c r="H28" s="74">
        <v>3</v>
      </c>
      <c r="I28" s="75">
        <v>18</v>
      </c>
      <c r="J28" s="49">
        <f>H28*I28*('Steps 1-6'!$C$7/1000)</f>
        <v>810</v>
      </c>
    </row>
    <row r="29" spans="2:11" x14ac:dyDescent="0.35">
      <c r="B29" s="38" t="s">
        <v>111</v>
      </c>
      <c r="C29" s="48" t="s">
        <v>100</v>
      </c>
      <c r="D29" s="25" t="s">
        <v>99</v>
      </c>
      <c r="E29" s="39" t="s">
        <v>3</v>
      </c>
      <c r="G29" s="73" t="s">
        <v>185</v>
      </c>
      <c r="H29" s="74">
        <v>0.5</v>
      </c>
      <c r="I29" s="75">
        <v>18</v>
      </c>
      <c r="J29" s="49">
        <f>H29*I29*('Steps 1-6'!$C$7/1000)</f>
        <v>135</v>
      </c>
    </row>
    <row r="30" spans="2:11" x14ac:dyDescent="0.35">
      <c r="B30" s="73" t="s">
        <v>153</v>
      </c>
      <c r="C30" s="79">
        <v>0.05</v>
      </c>
      <c r="D30" s="72">
        <v>6.6</v>
      </c>
      <c r="E30" s="17">
        <f>C30*'Steps 1-6'!C9*D30</f>
        <v>825</v>
      </c>
      <c r="G30" s="66"/>
      <c r="H30" s="133"/>
      <c r="I30" s="170"/>
      <c r="J30" s="49">
        <f>H30*I30*('Steps 1-6'!$C$7/1000)</f>
        <v>0</v>
      </c>
    </row>
    <row r="31" spans="2:11" ht="15" thickBot="1" x14ac:dyDescent="0.4">
      <c r="B31" s="4"/>
      <c r="E31" s="5"/>
      <c r="G31" s="68"/>
      <c r="H31" s="76"/>
      <c r="I31" s="80"/>
      <c r="J31" s="49">
        <f>H31*I31*('Steps 1-6'!$C$7/1000)</f>
        <v>0</v>
      </c>
    </row>
    <row r="32" spans="2:11" x14ac:dyDescent="0.35">
      <c r="B32" s="38" t="s">
        <v>110</v>
      </c>
      <c r="C32" s="192" t="s">
        <v>293</v>
      </c>
      <c r="D32" s="25" t="s">
        <v>112</v>
      </c>
      <c r="E32" s="39" t="s">
        <v>3</v>
      </c>
    </row>
    <row r="33" spans="2:5" x14ac:dyDescent="0.35">
      <c r="B33" s="73"/>
      <c r="C33" s="193">
        <f>'Steps 1-6'!C7</f>
        <v>15000</v>
      </c>
      <c r="D33" s="72"/>
      <c r="E33" s="17">
        <f>C33*D33</f>
        <v>0</v>
      </c>
    </row>
    <row r="34" spans="2:5" x14ac:dyDescent="0.35">
      <c r="B34" s="4"/>
      <c r="E34" s="5"/>
    </row>
    <row r="35" spans="2:5" x14ac:dyDescent="0.35">
      <c r="B35" s="38" t="s">
        <v>307</v>
      </c>
      <c r="C35" s="25" t="s">
        <v>11</v>
      </c>
      <c r="D35" s="25" t="s">
        <v>101</v>
      </c>
      <c r="E35" s="39" t="s">
        <v>3</v>
      </c>
    </row>
    <row r="36" spans="2:5" x14ac:dyDescent="0.35">
      <c r="B36" s="73" t="s">
        <v>290</v>
      </c>
      <c r="C36" s="74">
        <v>0.5</v>
      </c>
      <c r="D36" s="72">
        <v>18</v>
      </c>
      <c r="E36" s="17">
        <f>C36*D36</f>
        <v>9</v>
      </c>
    </row>
    <row r="37" spans="2:5" x14ac:dyDescent="0.35">
      <c r="B37" s="73" t="s">
        <v>308</v>
      </c>
      <c r="C37" s="74">
        <v>1</v>
      </c>
      <c r="D37" s="72">
        <v>80</v>
      </c>
      <c r="E37" s="17">
        <f>C37*D37</f>
        <v>80</v>
      </c>
    </row>
    <row r="38" spans="2:5" x14ac:dyDescent="0.35">
      <c r="B38" s="73"/>
      <c r="C38" s="74"/>
      <c r="D38" s="72"/>
      <c r="E38" s="17">
        <f>C38*D38</f>
        <v>0</v>
      </c>
    </row>
    <row r="39" spans="2:5" x14ac:dyDescent="0.35">
      <c r="B39" s="351"/>
      <c r="C39" s="352"/>
      <c r="D39" s="352"/>
      <c r="E39" s="353"/>
    </row>
    <row r="40" spans="2:5" x14ac:dyDescent="0.35">
      <c r="B40" s="130" t="s">
        <v>97</v>
      </c>
      <c r="C40" s="131" t="s">
        <v>294</v>
      </c>
      <c r="D40" s="131" t="s">
        <v>101</v>
      </c>
      <c r="E40" s="132" t="s">
        <v>3</v>
      </c>
    </row>
    <row r="41" spans="2:5" x14ac:dyDescent="0.35">
      <c r="B41" s="73" t="s">
        <v>177</v>
      </c>
      <c r="C41" s="74">
        <v>80</v>
      </c>
      <c r="D41" s="72">
        <v>0.86</v>
      </c>
      <c r="E41" s="49">
        <f>D41*C41*('Steps 1-6'!$C$11)</f>
        <v>142.14876033057848</v>
      </c>
    </row>
    <row r="42" spans="2:5" x14ac:dyDescent="0.35">
      <c r="B42" s="66" t="s">
        <v>179</v>
      </c>
      <c r="C42" s="133">
        <v>200</v>
      </c>
      <c r="D42" s="134">
        <v>0.69</v>
      </c>
      <c r="E42" s="49">
        <f>D42*C42*('Steps 1-6'!$C$11)</f>
        <v>285.12396694214874</v>
      </c>
    </row>
    <row r="43" spans="2:5" ht="15" thickBot="1" x14ac:dyDescent="0.4">
      <c r="B43" s="68" t="s">
        <v>180</v>
      </c>
      <c r="C43" s="76">
        <v>50</v>
      </c>
      <c r="D43" s="69">
        <v>0.7</v>
      </c>
      <c r="E43" s="50">
        <f>D43*C43*('Steps 1-6'!$C$11)</f>
        <v>72.314049586776846</v>
      </c>
    </row>
  </sheetData>
  <sheetProtection algorithmName="SHA-512" hashValue="rmB910PPh6ayNtEevulerNuph0xlYXdiYh/pLhwfGn/HexfP6cs/eJHfV+mLvdePgV6jEev4XuyHB5OntnHkKQ==" saltValue="kfDw0dlj7yJJTG3MRRPuNw==" spinCount="100000" sheet="1" selectLockedCells="1"/>
  <mergeCells count="7">
    <mergeCell ref="B2:J3"/>
    <mergeCell ref="B39:E39"/>
    <mergeCell ref="B8:E10"/>
    <mergeCell ref="B19:E20"/>
    <mergeCell ref="B26:E28"/>
    <mergeCell ref="G21:J22"/>
    <mergeCell ref="G8:J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3" r:id="rId4" name="Button 7">
              <controlPr defaultSize="0" print="0" autoFill="0" autoPict="0" macro="[0]!ReturntoHomePage">
                <anchor moveWithCells="1" sizeWithCells="1">
                  <from>
                    <xdr:col>6</xdr:col>
                    <xdr:colOff>1962150</xdr:colOff>
                    <xdr:row>34</xdr:row>
                    <xdr:rowOff>31750</xdr:rowOff>
                  </from>
                  <to>
                    <xdr:col>7</xdr:col>
                    <xdr:colOff>298450</xdr:colOff>
                    <xdr:row>36</xdr:row>
                    <xdr:rowOff>165100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1000000}">
          <x14:formula1>
            <xm:f>'input tables'!$D$21:$D$39</xm:f>
          </x14:formula1>
          <xm:sqref>G12:G18</xm:sqref>
        </x14:dataValidation>
        <x14:dataValidation type="list" allowBlank="1" showInputMessage="1" showErrorMessage="1" xr:uid="{00000000-0002-0000-0200-000000000000}">
          <x14:formula1>
            <xm:f>'input tables'!$D$5:$D$17</xm:f>
          </x14:formula1>
          <xm:sqref>B12:B16</xm:sqref>
        </x14:dataValidation>
        <x14:dataValidation type="list" allowBlank="1" showInputMessage="1" showErrorMessage="1" xr:uid="{00000000-0002-0000-0200-000002000000}">
          <x14:formula1>
            <xm:f>'input tables'!$F$8:$F$14</xm:f>
          </x14:formula1>
          <xm:sqref>G24:G31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J31"/>
  <sheetViews>
    <sheetView showGridLines="0" topLeftCell="A11" zoomScale="80" zoomScaleNormal="80" workbookViewId="0">
      <selection activeCell="C22" sqref="C22"/>
    </sheetView>
  </sheetViews>
  <sheetFormatPr defaultRowHeight="14.5" x14ac:dyDescent="0.35"/>
  <cols>
    <col min="2" max="2" width="46.7265625" customWidth="1"/>
    <col min="3" max="3" width="12.54296875" customWidth="1"/>
    <col min="4" max="4" width="9.453125" customWidth="1"/>
    <col min="5" max="5" width="10" customWidth="1"/>
    <col min="7" max="7" width="44.453125" customWidth="1"/>
    <col min="8" max="8" width="10.1796875" customWidth="1"/>
    <col min="9" max="10" width="9.26953125" customWidth="1"/>
  </cols>
  <sheetData>
    <row r="1" spans="2:10" ht="28.5" x14ac:dyDescent="0.65">
      <c r="B1" s="191" t="s">
        <v>295</v>
      </c>
    </row>
    <row r="2" spans="2:10" ht="15.5" x14ac:dyDescent="0.35">
      <c r="B2" s="212" t="s">
        <v>319</v>
      </c>
    </row>
    <row r="3" spans="2:10" ht="15.5" x14ac:dyDescent="0.35">
      <c r="B3" s="212" t="s">
        <v>321</v>
      </c>
    </row>
    <row r="4" spans="2:10" ht="15" thickBot="1" x14ac:dyDescent="0.4"/>
    <row r="5" spans="2:10" ht="15.5" x14ac:dyDescent="0.35">
      <c r="B5" s="43" t="s">
        <v>298</v>
      </c>
      <c r="C5" s="26"/>
      <c r="D5" s="26"/>
      <c r="E5" s="27"/>
      <c r="G5" s="43" t="s">
        <v>158</v>
      </c>
      <c r="H5" s="47"/>
      <c r="I5" s="26"/>
      <c r="J5" s="27"/>
    </row>
    <row r="6" spans="2:10" x14ac:dyDescent="0.35">
      <c r="B6" s="28" t="s">
        <v>320</v>
      </c>
      <c r="E6" s="5"/>
      <c r="G6" s="28" t="s">
        <v>318</v>
      </c>
      <c r="H6" s="1"/>
      <c r="J6" s="5"/>
    </row>
    <row r="7" spans="2:10" x14ac:dyDescent="0.35">
      <c r="B7" s="332" t="s">
        <v>77</v>
      </c>
      <c r="C7" s="333"/>
      <c r="D7" s="333"/>
      <c r="E7" s="334"/>
      <c r="G7" s="332" t="s">
        <v>157</v>
      </c>
      <c r="H7" s="333"/>
      <c r="I7" s="333"/>
      <c r="J7" s="334"/>
    </row>
    <row r="8" spans="2:10" x14ac:dyDescent="0.35">
      <c r="B8" s="332"/>
      <c r="C8" s="333"/>
      <c r="D8" s="333"/>
      <c r="E8" s="334"/>
      <c r="G8" s="332"/>
      <c r="H8" s="333"/>
      <c r="I8" s="333"/>
      <c r="J8" s="334"/>
    </row>
    <row r="9" spans="2:10" x14ac:dyDescent="0.35">
      <c r="B9" s="338"/>
      <c r="C9" s="340"/>
      <c r="D9" s="340"/>
      <c r="E9" s="339"/>
      <c r="G9" s="338"/>
      <c r="H9" s="340"/>
      <c r="I9" s="340"/>
      <c r="J9" s="339"/>
    </row>
    <row r="10" spans="2:10" ht="29" x14ac:dyDescent="0.35">
      <c r="B10" s="35" t="s">
        <v>10</v>
      </c>
      <c r="C10" s="54" t="s">
        <v>296</v>
      </c>
      <c r="D10" s="41" t="s">
        <v>58</v>
      </c>
      <c r="E10" s="36" t="s">
        <v>22</v>
      </c>
      <c r="G10" s="38" t="s">
        <v>111</v>
      </c>
      <c r="H10" s="48" t="s">
        <v>100</v>
      </c>
      <c r="I10" s="25" t="s">
        <v>99</v>
      </c>
      <c r="J10" s="39" t="s">
        <v>3</v>
      </c>
    </row>
    <row r="11" spans="2:10" x14ac:dyDescent="0.35">
      <c r="B11" s="73"/>
      <c r="C11" s="74"/>
      <c r="D11" s="75"/>
      <c r="E11" s="49">
        <f>C11*D11*('Steps 1-6'!$C$7/1000)</f>
        <v>0</v>
      </c>
      <c r="G11" s="73"/>
      <c r="H11" s="79"/>
      <c r="I11" s="72"/>
      <c r="J11" s="17">
        <f>H11*'Steps 1-6'!C9*I11</f>
        <v>0</v>
      </c>
    </row>
    <row r="12" spans="2:10" x14ac:dyDescent="0.35">
      <c r="B12" s="73" t="s">
        <v>46</v>
      </c>
      <c r="C12" s="74">
        <v>0.25</v>
      </c>
      <c r="D12" s="75">
        <v>20</v>
      </c>
      <c r="E12" s="49">
        <f>C12*D12*('Steps 1-6'!$C$7/1000)</f>
        <v>75</v>
      </c>
      <c r="G12" s="4"/>
      <c r="J12" s="5"/>
    </row>
    <row r="13" spans="2:10" x14ac:dyDescent="0.35">
      <c r="B13" s="73" t="s">
        <v>154</v>
      </c>
      <c r="C13" s="74">
        <v>0.5</v>
      </c>
      <c r="D13" s="75">
        <v>20</v>
      </c>
      <c r="E13" s="49">
        <f>C13*D13*('Steps 1-6'!$C$7/1000)</f>
        <v>150</v>
      </c>
      <c r="G13" s="38" t="s">
        <v>307</v>
      </c>
      <c r="H13" s="25" t="s">
        <v>156</v>
      </c>
      <c r="I13" s="25" t="s">
        <v>101</v>
      </c>
      <c r="J13" s="39" t="s">
        <v>3</v>
      </c>
    </row>
    <row r="14" spans="2:10" x14ac:dyDescent="0.35">
      <c r="B14" s="73" t="s">
        <v>184</v>
      </c>
      <c r="C14" s="74">
        <v>0.25</v>
      </c>
      <c r="D14" s="75">
        <v>20</v>
      </c>
      <c r="E14" s="49">
        <f>C14*D14*('Steps 1-6'!$C$7/1000)</f>
        <v>75</v>
      </c>
      <c r="G14" s="73" t="s">
        <v>102</v>
      </c>
      <c r="H14" s="74">
        <v>0.5</v>
      </c>
      <c r="I14" s="72">
        <v>18</v>
      </c>
      <c r="J14" s="49">
        <f>H14*I14</f>
        <v>9</v>
      </c>
    </row>
    <row r="15" spans="2:10" x14ac:dyDescent="0.35">
      <c r="B15" s="73"/>
      <c r="C15" s="74"/>
      <c r="D15" s="75"/>
      <c r="E15" s="49">
        <f>C15*D15*('Steps 1-6'!$C$7/1000)</f>
        <v>0</v>
      </c>
      <c r="G15" s="73" t="s">
        <v>181</v>
      </c>
      <c r="H15" s="74">
        <v>0.5</v>
      </c>
      <c r="I15" s="72">
        <v>40</v>
      </c>
      <c r="J15" s="49">
        <f>H15*I15</f>
        <v>20</v>
      </c>
    </row>
    <row r="16" spans="2:10" x14ac:dyDescent="0.35">
      <c r="B16" s="4"/>
      <c r="E16" s="5"/>
      <c r="G16" s="73"/>
      <c r="H16" s="74"/>
      <c r="I16" s="72"/>
      <c r="J16" s="49">
        <f>H16*I16</f>
        <v>0</v>
      </c>
    </row>
    <row r="17" spans="2:10" x14ac:dyDescent="0.35">
      <c r="B17" s="28" t="s">
        <v>42</v>
      </c>
      <c r="E17" s="5"/>
      <c r="G17" s="73"/>
      <c r="H17" s="74"/>
      <c r="I17" s="72"/>
      <c r="J17" s="49">
        <f>H17*I17</f>
        <v>0</v>
      </c>
    </row>
    <row r="18" spans="2:10" x14ac:dyDescent="0.35">
      <c r="B18" s="332" t="s">
        <v>71</v>
      </c>
      <c r="C18" s="333"/>
      <c r="D18" s="333"/>
      <c r="E18" s="334"/>
      <c r="G18" s="354"/>
      <c r="H18" s="355"/>
      <c r="I18" s="355"/>
      <c r="J18" s="356"/>
    </row>
    <row r="19" spans="2:10" ht="15" customHeight="1" x14ac:dyDescent="0.35">
      <c r="B19" s="338"/>
      <c r="C19" s="340"/>
      <c r="D19" s="340"/>
      <c r="E19" s="339"/>
      <c r="G19" s="38" t="s">
        <v>97</v>
      </c>
      <c r="H19" s="131" t="s">
        <v>294</v>
      </c>
      <c r="I19" s="25" t="s">
        <v>101</v>
      </c>
      <c r="J19" s="39" t="s">
        <v>3</v>
      </c>
    </row>
    <row r="20" spans="2:10" ht="29" x14ac:dyDescent="0.35">
      <c r="B20" s="35" t="s">
        <v>10</v>
      </c>
      <c r="C20" s="54" t="s">
        <v>296</v>
      </c>
      <c r="D20" s="41" t="s">
        <v>58</v>
      </c>
      <c r="E20" s="36" t="s">
        <v>22</v>
      </c>
      <c r="G20" s="73" t="s">
        <v>177</v>
      </c>
      <c r="H20" s="74">
        <v>80</v>
      </c>
      <c r="I20" s="72">
        <v>0.86</v>
      </c>
      <c r="J20" s="49">
        <f>I20*H20*'Steps 1-6'!$C$11</f>
        <v>142.14876033057848</v>
      </c>
    </row>
    <row r="21" spans="2:10" x14ac:dyDescent="0.35">
      <c r="B21" s="73" t="s">
        <v>49</v>
      </c>
      <c r="C21" s="74">
        <v>0.25</v>
      </c>
      <c r="D21" s="75">
        <v>18</v>
      </c>
      <c r="E21" s="49">
        <f>C21*D21*('Steps 1-6'!$C$7/1000)</f>
        <v>67.5</v>
      </c>
      <c r="G21" s="66"/>
      <c r="H21" s="133"/>
      <c r="I21" s="134"/>
      <c r="J21" s="213"/>
    </row>
    <row r="22" spans="2:10" ht="15" thickBot="1" x14ac:dyDescent="0.4">
      <c r="B22" s="73" t="s">
        <v>185</v>
      </c>
      <c r="C22" s="74">
        <v>0.25</v>
      </c>
      <c r="D22" s="75">
        <v>18</v>
      </c>
      <c r="E22" s="49">
        <f>C22*D22*('Steps 1-6'!$C$7/1000)</f>
        <v>67.5</v>
      </c>
      <c r="G22" s="68"/>
      <c r="H22" s="76"/>
      <c r="I22" s="69"/>
      <c r="J22" s="50">
        <f>I22*H22*'Steps 1-6'!$C$11</f>
        <v>0</v>
      </c>
    </row>
    <row r="23" spans="2:10" ht="15" thickBot="1" x14ac:dyDescent="0.4">
      <c r="B23" s="73"/>
      <c r="C23" s="74"/>
      <c r="D23" s="75"/>
      <c r="E23" s="49">
        <f>C23*D23</f>
        <v>0</v>
      </c>
      <c r="J23" s="194"/>
    </row>
    <row r="24" spans="2:10" ht="16" thickBot="1" x14ac:dyDescent="0.4">
      <c r="B24" s="68"/>
      <c r="C24" s="76"/>
      <c r="D24" s="77"/>
      <c r="E24" s="50">
        <f>C24*D24</f>
        <v>0</v>
      </c>
      <c r="G24" s="43" t="s">
        <v>232</v>
      </c>
      <c r="H24" s="27"/>
    </row>
    <row r="25" spans="2:10" x14ac:dyDescent="0.35">
      <c r="G25" s="28" t="s">
        <v>141</v>
      </c>
      <c r="H25" s="5"/>
    </row>
    <row r="26" spans="2:10" x14ac:dyDescent="0.35">
      <c r="G26" s="332" t="s">
        <v>143</v>
      </c>
      <c r="H26" s="334"/>
    </row>
    <row r="27" spans="2:10" x14ac:dyDescent="0.35">
      <c r="G27" s="338"/>
      <c r="H27" s="339"/>
    </row>
    <row r="28" spans="2:10" ht="15.5" x14ac:dyDescent="0.35">
      <c r="G28" s="29" t="s">
        <v>1</v>
      </c>
      <c r="H28" s="33" t="s">
        <v>25</v>
      </c>
    </row>
    <row r="29" spans="2:10" x14ac:dyDescent="0.35">
      <c r="G29" s="9" t="s">
        <v>86</v>
      </c>
      <c r="H29" s="81">
        <v>0.03</v>
      </c>
    </row>
    <row r="30" spans="2:10" x14ac:dyDescent="0.35">
      <c r="G30" s="9" t="s">
        <v>62</v>
      </c>
      <c r="H30" s="11">
        <f>H29*'Steps 1-6'!$C$9</f>
        <v>75</v>
      </c>
    </row>
    <row r="31" spans="2:10" ht="15" thickBot="1" x14ac:dyDescent="0.4">
      <c r="G31" s="10" t="s">
        <v>87</v>
      </c>
      <c r="H31" s="82">
        <v>5.75</v>
      </c>
    </row>
  </sheetData>
  <sheetProtection algorithmName="SHA-512" hashValue="qjDvf3gi/Gi4plRYE9pOHZHzLLqZjd4Aqa3P93gxgDwJu8v5Sf8BYAQP/IVCx0yI9o5WwNNgK526Nnd2Vy8V6A==" saltValue="Dunetg9UK9qDuq9jcrwN3w==" spinCount="100000" sheet="1" objects="1" scenarios="1" selectLockedCells="1"/>
  <mergeCells count="5">
    <mergeCell ref="B7:E9"/>
    <mergeCell ref="B18:E19"/>
    <mergeCell ref="G7:J9"/>
    <mergeCell ref="G26:H27"/>
    <mergeCell ref="G18:J18"/>
  </mergeCell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defaultSize="0" print="0" autoFill="0" autoPict="0" macro="[0]!ReturntoHomePage">
                <anchor moveWithCells="1" sizeWithCells="1">
                  <from>
                    <xdr:col>4</xdr:col>
                    <xdr:colOff>266700</xdr:colOff>
                    <xdr:row>32</xdr:row>
                    <xdr:rowOff>120650</xdr:rowOff>
                  </from>
                  <to>
                    <xdr:col>6</xdr:col>
                    <xdr:colOff>438150</xdr:colOff>
                    <xdr:row>35</xdr:row>
                    <xdr:rowOff>82550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'input tables'!$F$16:$F$21</xm:f>
          </x14:formula1>
          <xm:sqref>B21:B24</xm:sqref>
        </x14:dataValidation>
        <x14:dataValidation type="list" allowBlank="1" showInputMessage="1" showErrorMessage="1" xr:uid="{00000000-0002-0000-0300-000001000000}">
          <x14:formula1>
            <xm:f>'input tables'!$D$41:$D$50</xm:f>
          </x14:formula1>
          <xm:sqref>B11:B15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J23"/>
  <sheetViews>
    <sheetView showGridLines="0" topLeftCell="A4" zoomScale="80" zoomScaleNormal="80" workbookViewId="0">
      <selection activeCell="B11" sqref="B11"/>
    </sheetView>
  </sheetViews>
  <sheetFormatPr defaultRowHeight="14.5" x14ac:dyDescent="0.35"/>
  <cols>
    <col min="2" max="2" width="44.7265625" customWidth="1"/>
    <col min="3" max="3" width="11.81640625" customWidth="1"/>
    <col min="7" max="7" width="44.453125" customWidth="1"/>
    <col min="9" max="9" width="9.26953125" customWidth="1"/>
    <col min="10" max="10" width="10" customWidth="1"/>
  </cols>
  <sheetData>
    <row r="1" spans="2:10" ht="28.5" x14ac:dyDescent="0.65">
      <c r="B1" s="191" t="s">
        <v>297</v>
      </c>
    </row>
    <row r="2" spans="2:10" ht="15.5" customHeight="1" x14ac:dyDescent="0.35">
      <c r="B2" s="357" t="s">
        <v>322</v>
      </c>
      <c r="C2" s="357"/>
      <c r="D2" s="357"/>
      <c r="E2" s="357"/>
      <c r="F2" s="357"/>
      <c r="G2" s="357"/>
      <c r="H2" s="357"/>
      <c r="I2" s="357"/>
      <c r="J2" s="357"/>
    </row>
    <row r="3" spans="2:10" ht="15.5" customHeight="1" x14ac:dyDescent="0.35">
      <c r="B3" s="357"/>
      <c r="C3" s="357"/>
      <c r="D3" s="357"/>
      <c r="E3" s="357"/>
      <c r="F3" s="357"/>
      <c r="G3" s="357"/>
      <c r="H3" s="357"/>
      <c r="I3" s="357"/>
      <c r="J3" s="357"/>
    </row>
    <row r="4" spans="2:10" ht="15" thickBot="1" x14ac:dyDescent="0.4"/>
    <row r="5" spans="2:10" ht="15.5" x14ac:dyDescent="0.35">
      <c r="B5" s="43" t="s">
        <v>233</v>
      </c>
      <c r="C5" s="26"/>
      <c r="D5" s="26"/>
      <c r="E5" s="27"/>
      <c r="G5" s="43" t="s">
        <v>234</v>
      </c>
      <c r="H5" s="47"/>
      <c r="I5" s="26"/>
      <c r="J5" s="27"/>
    </row>
    <row r="6" spans="2:10" x14ac:dyDescent="0.35">
      <c r="B6" s="28" t="s">
        <v>79</v>
      </c>
      <c r="E6" s="5"/>
      <c r="G6" s="28" t="s">
        <v>159</v>
      </c>
      <c r="H6" s="1"/>
      <c r="J6" s="5"/>
    </row>
    <row r="7" spans="2:10" ht="15" customHeight="1" x14ac:dyDescent="0.35">
      <c r="B7" s="332" t="s">
        <v>80</v>
      </c>
      <c r="C7" s="333"/>
      <c r="D7" s="333"/>
      <c r="E7" s="334"/>
      <c r="G7" s="332" t="s">
        <v>157</v>
      </c>
      <c r="H7" s="333"/>
      <c r="I7" s="333"/>
      <c r="J7" s="334"/>
    </row>
    <row r="8" spans="2:10" x14ac:dyDescent="0.35">
      <c r="B8" s="332"/>
      <c r="C8" s="333"/>
      <c r="D8" s="333"/>
      <c r="E8" s="334"/>
      <c r="G8" s="332"/>
      <c r="H8" s="333"/>
      <c r="I8" s="333"/>
      <c r="J8" s="334"/>
    </row>
    <row r="9" spans="2:10" x14ac:dyDescent="0.35">
      <c r="B9" s="338"/>
      <c r="C9" s="340"/>
      <c r="D9" s="340"/>
      <c r="E9" s="339"/>
      <c r="G9" s="338"/>
      <c r="H9" s="340"/>
      <c r="I9" s="340"/>
      <c r="J9" s="339"/>
    </row>
    <row r="10" spans="2:10" ht="29" x14ac:dyDescent="0.35">
      <c r="B10" s="35" t="s">
        <v>10</v>
      </c>
      <c r="C10" s="54" t="s">
        <v>296</v>
      </c>
      <c r="D10" s="41" t="s">
        <v>58</v>
      </c>
      <c r="E10" s="36" t="s">
        <v>106</v>
      </c>
      <c r="G10" s="38" t="s">
        <v>111</v>
      </c>
      <c r="H10" s="48" t="s">
        <v>100</v>
      </c>
      <c r="I10" s="25" t="s">
        <v>99</v>
      </c>
      <c r="J10" s="39" t="s">
        <v>3</v>
      </c>
    </row>
    <row r="11" spans="2:10" x14ac:dyDescent="0.35">
      <c r="B11" s="73" t="s">
        <v>46</v>
      </c>
      <c r="C11" s="74">
        <v>0.25</v>
      </c>
      <c r="D11" s="75">
        <v>20</v>
      </c>
      <c r="E11" s="49">
        <f>C11*D11*('Steps 1-6'!$C$7/1000)</f>
        <v>75</v>
      </c>
      <c r="G11" s="73"/>
      <c r="H11" s="79"/>
      <c r="I11" s="72"/>
      <c r="J11" s="17">
        <f>H11*'Steps 1-6'!C9*I11</f>
        <v>0</v>
      </c>
    </row>
    <row r="12" spans="2:10" x14ac:dyDescent="0.35">
      <c r="B12" s="73" t="s">
        <v>154</v>
      </c>
      <c r="C12" s="74">
        <v>0.5</v>
      </c>
      <c r="D12" s="75">
        <v>20</v>
      </c>
      <c r="E12" s="49">
        <f>C12*D12*('Steps 1-6'!$C$7/1000)</f>
        <v>150</v>
      </c>
      <c r="G12" s="4"/>
      <c r="J12" s="5"/>
    </row>
    <row r="13" spans="2:10" x14ac:dyDescent="0.35">
      <c r="B13" s="73"/>
      <c r="C13" s="74"/>
      <c r="D13" s="78"/>
      <c r="E13" s="49">
        <f>C13*D13*('Steps 1-6'!$C$7/1000)</f>
        <v>0</v>
      </c>
      <c r="G13" s="38" t="s">
        <v>307</v>
      </c>
      <c r="H13" s="25" t="s">
        <v>156</v>
      </c>
      <c r="I13" s="25" t="s">
        <v>101</v>
      </c>
      <c r="J13" s="39" t="s">
        <v>3</v>
      </c>
    </row>
    <row r="14" spans="2:10" x14ac:dyDescent="0.35">
      <c r="B14" s="4"/>
      <c r="E14" s="5"/>
      <c r="G14" s="73"/>
      <c r="H14" s="74"/>
      <c r="I14" s="72"/>
      <c r="J14" s="49">
        <f>H14*I14</f>
        <v>0</v>
      </c>
    </row>
    <row r="15" spans="2:10" x14ac:dyDescent="0.35">
      <c r="B15" s="28" t="s">
        <v>42</v>
      </c>
      <c r="E15" s="5"/>
      <c r="G15" s="73"/>
      <c r="H15" s="74"/>
      <c r="I15" s="72"/>
      <c r="J15" s="49">
        <f>H15*I15</f>
        <v>0</v>
      </c>
    </row>
    <row r="16" spans="2:10" ht="29" x14ac:dyDescent="0.35">
      <c r="B16" s="35" t="s">
        <v>10</v>
      </c>
      <c r="C16" s="54" t="s">
        <v>296</v>
      </c>
      <c r="D16" s="41" t="s">
        <v>58</v>
      </c>
      <c r="E16" s="36" t="s">
        <v>106</v>
      </c>
      <c r="G16" s="73"/>
      <c r="H16" s="74"/>
      <c r="I16" s="72"/>
      <c r="J16" s="49">
        <f>H16*I16</f>
        <v>0</v>
      </c>
    </row>
    <row r="17" spans="2:10" x14ac:dyDescent="0.35">
      <c r="B17" s="73" t="s">
        <v>49</v>
      </c>
      <c r="C17" s="74">
        <v>0.25</v>
      </c>
      <c r="D17" s="75">
        <v>18</v>
      </c>
      <c r="E17" s="49">
        <f>C17*D17*('Steps 1-6'!$C$7/1000)</f>
        <v>67.5</v>
      </c>
      <c r="G17" s="73"/>
      <c r="H17" s="74"/>
      <c r="I17" s="72"/>
      <c r="J17" s="49">
        <f>H17*I17</f>
        <v>0</v>
      </c>
    </row>
    <row r="18" spans="2:10" x14ac:dyDescent="0.35">
      <c r="B18" s="73"/>
      <c r="C18" s="74"/>
      <c r="D18" s="75"/>
      <c r="E18" s="49">
        <f>C18*D18*('Steps 1-6'!$C$7/1000)</f>
        <v>0</v>
      </c>
      <c r="G18" s="354"/>
      <c r="H18" s="355"/>
      <c r="I18" s="355"/>
      <c r="J18" s="356"/>
    </row>
    <row r="19" spans="2:10" x14ac:dyDescent="0.35">
      <c r="B19" s="73"/>
      <c r="C19" s="74"/>
      <c r="D19" s="75"/>
      <c r="E19" s="49">
        <f>C19*D19*('Steps 1-6'!$C$7/1000)</f>
        <v>0</v>
      </c>
      <c r="G19" s="38" t="s">
        <v>97</v>
      </c>
      <c r="H19" s="131" t="s">
        <v>294</v>
      </c>
      <c r="I19" s="25" t="s">
        <v>101</v>
      </c>
      <c r="J19" s="39" t="s">
        <v>3</v>
      </c>
    </row>
    <row r="20" spans="2:10" ht="15" thickBot="1" x14ac:dyDescent="0.4">
      <c r="B20" s="68"/>
      <c r="C20" s="76"/>
      <c r="D20" s="80"/>
      <c r="E20" s="50">
        <f>C20*D20*('Steps 1-6'!$C$7/1000)</f>
        <v>0</v>
      </c>
      <c r="G20" s="73" t="s">
        <v>178</v>
      </c>
      <c r="H20" s="74">
        <v>80</v>
      </c>
      <c r="I20" s="72">
        <v>0.89</v>
      </c>
      <c r="J20" s="49">
        <f>H20*I20*'Steps 1-6'!$C$11</f>
        <v>147.1074380165289</v>
      </c>
    </row>
    <row r="21" spans="2:10" x14ac:dyDescent="0.35">
      <c r="G21" s="66"/>
      <c r="H21" s="133"/>
      <c r="I21" s="134"/>
      <c r="J21" s="49">
        <f>H21*I21*'Steps 1-6'!$C$11</f>
        <v>0</v>
      </c>
    </row>
    <row r="22" spans="2:10" x14ac:dyDescent="0.35">
      <c r="G22" s="66"/>
      <c r="H22" s="133"/>
      <c r="I22" s="134"/>
      <c r="J22" s="49">
        <f>H22*I22*'Steps 1-6'!$C$11</f>
        <v>0</v>
      </c>
    </row>
    <row r="23" spans="2:10" ht="15" thickBot="1" x14ac:dyDescent="0.4">
      <c r="G23" s="68"/>
      <c r="H23" s="76"/>
      <c r="I23" s="69"/>
      <c r="J23" s="49">
        <f>H23*I23*'Steps 1-6'!$C$11</f>
        <v>0</v>
      </c>
    </row>
  </sheetData>
  <sheetProtection algorithmName="SHA-512" hashValue="uoHOISf0TgPlds5hE3ksTe99rytxxImwo/TZLFEQ43By1Ms4+jXbB691YcQSxvBulnDIJUN5bLJ3n4HOO2ZEfw==" saltValue="UEIQuERUcuVJMiPj272l7g==" spinCount="100000" sheet="1" objects="1" scenarios="1" selectLockedCells="1"/>
  <mergeCells count="4">
    <mergeCell ref="B7:E9"/>
    <mergeCell ref="G7:J9"/>
    <mergeCell ref="G18:J18"/>
    <mergeCell ref="B2:J3"/>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8" r:id="rId3" name="Button 8">
              <controlPr defaultSize="0" print="0" autoFill="0" autoPict="0" macro="[0]!ReturntoHomePage">
                <anchor moveWithCells="1" sizeWithCells="1">
                  <from>
                    <xdr:col>5</xdr:col>
                    <xdr:colOff>190500</xdr:colOff>
                    <xdr:row>24</xdr:row>
                    <xdr:rowOff>0</xdr:rowOff>
                  </from>
                  <to>
                    <xdr:col>6</xdr:col>
                    <xdr:colOff>908050</xdr:colOff>
                    <xdr:row>26</xdr:row>
                    <xdr:rowOff>133350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'input tables'!$F$23:$F$27</xm:f>
          </x14:formula1>
          <xm:sqref>B17:B20</xm:sqref>
        </x14:dataValidation>
        <x14:dataValidation type="list" allowBlank="1" showInputMessage="1" showErrorMessage="1" xr:uid="{00000000-0002-0000-0400-000000000000}">
          <x14:formula1>
            <xm:f>'input tables'!$D$52:$D$58</xm:f>
          </x14:formula1>
          <xm:sqref>B11:B13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2:H29"/>
  <sheetViews>
    <sheetView showGridLines="0" topLeftCell="A2" zoomScale="90" zoomScaleNormal="90" workbookViewId="0">
      <selection activeCell="B13" sqref="B13"/>
    </sheetView>
  </sheetViews>
  <sheetFormatPr defaultRowHeight="14.5" x14ac:dyDescent="0.35"/>
  <cols>
    <col min="2" max="2" width="45.54296875" customWidth="1"/>
    <col min="7" max="7" width="23.7265625" customWidth="1"/>
    <col min="8" max="8" width="13.1796875" customWidth="1"/>
    <col min="10" max="10" width="68.54296875" customWidth="1"/>
  </cols>
  <sheetData>
    <row r="2" spans="2:8" ht="18.5" x14ac:dyDescent="0.45">
      <c r="B2" s="173" t="s">
        <v>82</v>
      </c>
    </row>
    <row r="3" spans="2:8" ht="15" customHeight="1" x14ac:dyDescent="0.35">
      <c r="B3" s="358" t="s">
        <v>299</v>
      </c>
      <c r="C3" s="358"/>
      <c r="D3" s="358"/>
      <c r="E3" s="358"/>
      <c r="F3" s="358"/>
      <c r="G3" s="358"/>
      <c r="H3" s="358"/>
    </row>
    <row r="4" spans="2:8" ht="15" customHeight="1" x14ac:dyDescent="0.35">
      <c r="B4" s="358"/>
      <c r="C4" s="358"/>
      <c r="D4" s="358"/>
      <c r="E4" s="358"/>
      <c r="F4" s="358"/>
      <c r="G4" s="358"/>
      <c r="H4" s="358"/>
    </row>
    <row r="5" spans="2:8" x14ac:dyDescent="0.35">
      <c r="B5" s="358"/>
      <c r="C5" s="358"/>
      <c r="D5" s="358"/>
      <c r="E5" s="358"/>
      <c r="F5" s="358"/>
      <c r="G5" s="358"/>
      <c r="H5" s="358"/>
    </row>
    <row r="6" spans="2:8" ht="15" thickBot="1" x14ac:dyDescent="0.4"/>
    <row r="7" spans="2:8" ht="15.5" x14ac:dyDescent="0.35">
      <c r="B7" s="45" t="s">
        <v>280</v>
      </c>
      <c r="C7" s="26"/>
      <c r="D7" s="26"/>
      <c r="E7" s="27"/>
      <c r="G7" s="43" t="s">
        <v>160</v>
      </c>
      <c r="H7" s="27"/>
    </row>
    <row r="8" spans="2:8" ht="15" customHeight="1" x14ac:dyDescent="0.35">
      <c r="B8" s="28" t="s">
        <v>83</v>
      </c>
      <c r="E8" s="5"/>
      <c r="G8" s="28" t="s">
        <v>85</v>
      </c>
      <c r="H8" s="5"/>
    </row>
    <row r="9" spans="2:8" ht="15" customHeight="1" x14ac:dyDescent="0.35">
      <c r="B9" s="332" t="s">
        <v>88</v>
      </c>
      <c r="C9" s="333"/>
      <c r="D9" s="333"/>
      <c r="E9" s="334"/>
      <c r="G9" s="332" t="s">
        <v>142</v>
      </c>
      <c r="H9" s="334"/>
    </row>
    <row r="10" spans="2:8" x14ac:dyDescent="0.35">
      <c r="B10" s="332"/>
      <c r="C10" s="333"/>
      <c r="D10" s="333"/>
      <c r="E10" s="334"/>
      <c r="G10" s="338"/>
      <c r="H10" s="339"/>
    </row>
    <row r="11" spans="2:8" ht="15.5" x14ac:dyDescent="0.35">
      <c r="B11" s="338"/>
      <c r="C11" s="340"/>
      <c r="D11" s="340"/>
      <c r="E11" s="339"/>
      <c r="G11" s="29" t="s">
        <v>1</v>
      </c>
      <c r="H11" s="33" t="s">
        <v>25</v>
      </c>
    </row>
    <row r="12" spans="2:8" x14ac:dyDescent="0.35">
      <c r="B12" s="35" t="s">
        <v>10</v>
      </c>
      <c r="C12" s="22" t="s">
        <v>57</v>
      </c>
      <c r="D12" s="41" t="s">
        <v>58</v>
      </c>
      <c r="E12" s="36" t="s">
        <v>106</v>
      </c>
      <c r="G12" s="9" t="s">
        <v>86</v>
      </c>
      <c r="H12" s="81"/>
    </row>
    <row r="13" spans="2:8" x14ac:dyDescent="0.35">
      <c r="B13" s="73"/>
      <c r="C13" s="74"/>
      <c r="D13" s="75"/>
      <c r="E13" s="49">
        <f>C13*D13</f>
        <v>0</v>
      </c>
      <c r="G13" s="9" t="s">
        <v>62</v>
      </c>
      <c r="H13" s="11">
        <f>H12*'Steps 1-6'!C9</f>
        <v>0</v>
      </c>
    </row>
    <row r="14" spans="2:8" ht="15" thickBot="1" x14ac:dyDescent="0.4">
      <c r="B14" s="73"/>
      <c r="C14" s="74"/>
      <c r="D14" s="75"/>
      <c r="E14" s="49">
        <f t="shared" ref="E14:E19" si="0">C14*D14</f>
        <v>0</v>
      </c>
      <c r="G14" s="10" t="s">
        <v>87</v>
      </c>
      <c r="H14" s="82"/>
    </row>
    <row r="15" spans="2:8" x14ac:dyDescent="0.35">
      <c r="B15" s="73"/>
      <c r="C15" s="74"/>
      <c r="D15" s="75"/>
      <c r="E15" s="49">
        <f t="shared" si="0"/>
        <v>0</v>
      </c>
    </row>
    <row r="16" spans="2:8" x14ac:dyDescent="0.35">
      <c r="B16" s="73"/>
      <c r="C16" s="74"/>
      <c r="D16" s="75"/>
      <c r="E16" s="49">
        <f t="shared" si="0"/>
        <v>0</v>
      </c>
    </row>
    <row r="17" spans="2:5" x14ac:dyDescent="0.35">
      <c r="B17" s="73"/>
      <c r="C17" s="74"/>
      <c r="D17" s="75"/>
      <c r="E17" s="49">
        <f t="shared" si="0"/>
        <v>0</v>
      </c>
    </row>
    <row r="18" spans="2:5" x14ac:dyDescent="0.35">
      <c r="B18" s="73"/>
      <c r="C18" s="74"/>
      <c r="D18" s="75"/>
      <c r="E18" s="49">
        <f t="shared" si="0"/>
        <v>0</v>
      </c>
    </row>
    <row r="19" spans="2:5" x14ac:dyDescent="0.35">
      <c r="B19" s="73"/>
      <c r="C19" s="74"/>
      <c r="D19" s="75"/>
      <c r="E19" s="49">
        <f t="shared" si="0"/>
        <v>0</v>
      </c>
    </row>
    <row r="20" spans="2:5" x14ac:dyDescent="0.35">
      <c r="B20" s="4"/>
      <c r="E20" s="5"/>
    </row>
    <row r="21" spans="2:5" x14ac:dyDescent="0.35">
      <c r="B21" s="28" t="s">
        <v>42</v>
      </c>
      <c r="E21" s="5"/>
    </row>
    <row r="22" spans="2:5" x14ac:dyDescent="0.35">
      <c r="B22" s="332" t="s">
        <v>71</v>
      </c>
      <c r="C22" s="333"/>
      <c r="D22" s="333"/>
      <c r="E22" s="334"/>
    </row>
    <row r="23" spans="2:5" x14ac:dyDescent="0.35">
      <c r="B23" s="338"/>
      <c r="C23" s="340"/>
      <c r="D23" s="340"/>
      <c r="E23" s="339"/>
    </row>
    <row r="24" spans="2:5" x14ac:dyDescent="0.35">
      <c r="B24" s="35" t="s">
        <v>10</v>
      </c>
      <c r="C24" s="22" t="s">
        <v>57</v>
      </c>
      <c r="D24" s="41" t="s">
        <v>58</v>
      </c>
      <c r="E24" s="36" t="s">
        <v>106</v>
      </c>
    </row>
    <row r="25" spans="2:5" x14ac:dyDescent="0.35">
      <c r="B25" s="73"/>
      <c r="C25" s="74"/>
      <c r="D25" s="75"/>
      <c r="E25" s="49">
        <f t="shared" ref="E25:E29" si="1">C25*D25</f>
        <v>0</v>
      </c>
    </row>
    <row r="26" spans="2:5" x14ac:dyDescent="0.35">
      <c r="B26" s="73"/>
      <c r="C26" s="74"/>
      <c r="D26" s="75"/>
      <c r="E26" s="49">
        <f t="shared" si="1"/>
        <v>0</v>
      </c>
    </row>
    <row r="27" spans="2:5" x14ac:dyDescent="0.35">
      <c r="B27" s="73"/>
      <c r="C27" s="74"/>
      <c r="D27" s="75"/>
      <c r="E27" s="49">
        <f t="shared" si="1"/>
        <v>0</v>
      </c>
    </row>
    <row r="28" spans="2:5" x14ac:dyDescent="0.35">
      <c r="B28" s="73"/>
      <c r="C28" s="74"/>
      <c r="D28" s="75"/>
      <c r="E28" s="49">
        <f t="shared" si="1"/>
        <v>0</v>
      </c>
    </row>
    <row r="29" spans="2:5" ht="15" thickBot="1" x14ac:dyDescent="0.4">
      <c r="B29" s="68"/>
      <c r="C29" s="76"/>
      <c r="D29" s="77"/>
      <c r="E29" s="50">
        <f t="shared" si="1"/>
        <v>0</v>
      </c>
    </row>
  </sheetData>
  <sheetProtection algorithmName="SHA-512" hashValue="ds/U3Od+ZX6KWUdXbemJNwtyW8IIwqehPFTclsMUCI2rRyZkaSojOeqKQ1aqTz83WUaQ3x7h/0s40VTvbUk+uA==" saltValue="/B5picQYZ94Zasq7dSOwDg==" spinCount="100000" sheet="1" objects="1" scenarios="1" selectLockedCells="1"/>
  <mergeCells count="4">
    <mergeCell ref="B9:E11"/>
    <mergeCell ref="B22:E23"/>
    <mergeCell ref="B3:H5"/>
    <mergeCell ref="G9:H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51" r:id="rId4" name="Button 7">
              <controlPr defaultSize="0" print="0" autoFill="0" autoPict="0" macro="[0]!ReturntoHomePage">
                <anchor moveWithCells="1" sizeWithCells="1">
                  <from>
                    <xdr:col>6</xdr:col>
                    <xdr:colOff>12700</xdr:colOff>
                    <xdr:row>15</xdr:row>
                    <xdr:rowOff>184150</xdr:rowOff>
                  </from>
                  <to>
                    <xdr:col>6</xdr:col>
                    <xdr:colOff>1460500</xdr:colOff>
                    <xdr:row>18</xdr:row>
                    <xdr:rowOff>127000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'input tables'!$F$30:$F$36</xm:f>
          </x14:formula1>
          <xm:sqref>B25:B29</xm:sqref>
        </x14:dataValidation>
        <x14:dataValidation type="list" allowBlank="1" showInputMessage="1" showErrorMessage="1" xr:uid="{00000000-0002-0000-0500-000001000000}">
          <x14:formula1>
            <xm:f>'input tables'!$D$61:$D$69</xm:f>
          </x14:formula1>
          <xm:sqref>B13:B17</xm:sqref>
        </x14:dataValidation>
        <x14:dataValidation type="list" allowBlank="1" showInputMessage="1" showErrorMessage="1" xr:uid="{00000000-0002-0000-0500-000002000000}">
          <x14:formula1>
            <xm:f>'input tables'!$D$61:$D$68</xm:f>
          </x14:formula1>
          <xm:sqref>B18:B19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T39"/>
  <sheetViews>
    <sheetView showGridLines="0" topLeftCell="C1" zoomScale="90" zoomScaleNormal="90" workbookViewId="0">
      <selection activeCell="C16" sqref="C16"/>
    </sheetView>
  </sheetViews>
  <sheetFormatPr defaultRowHeight="14.5" x14ac:dyDescent="0.35"/>
  <cols>
    <col min="2" max="7" width="14.1796875" customWidth="1"/>
    <col min="8" max="8" width="6.7265625" customWidth="1"/>
    <col min="9" max="9" width="10.08984375" customWidth="1"/>
    <col min="10" max="14" width="11.36328125" customWidth="1"/>
    <col min="15" max="18" width="12.1796875" customWidth="1"/>
    <col min="19" max="21" width="13.26953125" customWidth="1"/>
  </cols>
  <sheetData>
    <row r="1" spans="2:18" ht="15" thickBot="1" x14ac:dyDescent="0.4"/>
    <row r="2" spans="2:18" ht="15.5" x14ac:dyDescent="0.35">
      <c r="B2" s="43" t="s">
        <v>325</v>
      </c>
      <c r="C2" s="26"/>
      <c r="D2" s="26"/>
      <c r="E2" s="26"/>
      <c r="F2" s="26"/>
      <c r="G2" s="27"/>
      <c r="I2" s="43" t="s">
        <v>331</v>
      </c>
      <c r="J2" s="26"/>
      <c r="K2" s="26"/>
      <c r="L2" s="26"/>
      <c r="M2" s="26"/>
      <c r="N2" s="26"/>
      <c r="O2" s="26"/>
      <c r="P2" s="26"/>
      <c r="Q2" s="27"/>
    </row>
    <row r="3" spans="2:18" ht="17.5" customHeight="1" x14ac:dyDescent="0.35">
      <c r="B3" s="380" t="s">
        <v>354</v>
      </c>
      <c r="C3" s="381"/>
      <c r="D3" s="381"/>
      <c r="E3" s="381"/>
      <c r="F3" s="381"/>
      <c r="G3" s="382"/>
      <c r="I3" s="28" t="s">
        <v>116</v>
      </c>
      <c r="Q3" s="5"/>
    </row>
    <row r="4" spans="2:18" ht="14.5" customHeight="1" x14ac:dyDescent="0.35">
      <c r="B4" s="380"/>
      <c r="C4" s="381"/>
      <c r="D4" s="381"/>
      <c r="E4" s="381"/>
      <c r="F4" s="381"/>
      <c r="G4" s="382"/>
      <c r="I4" s="369" t="s">
        <v>355</v>
      </c>
      <c r="J4" s="370"/>
      <c r="K4" s="370"/>
      <c r="L4" s="370"/>
      <c r="M4" s="370"/>
      <c r="N4" s="370"/>
      <c r="O4" s="370"/>
      <c r="P4" s="370"/>
      <c r="Q4" s="371"/>
    </row>
    <row r="5" spans="2:18" ht="15" customHeight="1" x14ac:dyDescent="0.35">
      <c r="B5" s="380"/>
      <c r="C5" s="381"/>
      <c r="D5" s="381"/>
      <c r="E5" s="381"/>
      <c r="F5" s="381"/>
      <c r="G5" s="382"/>
      <c r="I5" s="369"/>
      <c r="J5" s="370"/>
      <c r="K5" s="370"/>
      <c r="L5" s="370"/>
      <c r="M5" s="370"/>
      <c r="N5" s="370"/>
      <c r="O5" s="370"/>
      <c r="P5" s="370"/>
      <c r="Q5" s="371"/>
    </row>
    <row r="6" spans="2:18" x14ac:dyDescent="0.35">
      <c r="B6" s="380"/>
      <c r="C6" s="381"/>
      <c r="D6" s="381"/>
      <c r="E6" s="381"/>
      <c r="F6" s="381"/>
      <c r="G6" s="382"/>
      <c r="I6" s="230"/>
      <c r="J6" s="231"/>
      <c r="K6" s="231"/>
      <c r="L6" s="231"/>
      <c r="M6" s="231"/>
      <c r="N6" s="231"/>
      <c r="O6" s="231"/>
      <c r="P6" s="231"/>
      <c r="Q6" s="232"/>
    </row>
    <row r="7" spans="2:18" x14ac:dyDescent="0.35">
      <c r="B7" s="380"/>
      <c r="C7" s="381"/>
      <c r="D7" s="381"/>
      <c r="E7" s="381"/>
      <c r="F7" s="381"/>
      <c r="G7" s="382"/>
      <c r="I7" s="230"/>
      <c r="J7" s="231"/>
      <c r="K7" s="231"/>
      <c r="L7" s="231"/>
      <c r="M7" s="231"/>
      <c r="N7" s="231"/>
      <c r="O7" s="231"/>
      <c r="P7" s="231"/>
      <c r="Q7" s="232"/>
    </row>
    <row r="8" spans="2:18" ht="15" thickBot="1" x14ac:dyDescent="0.4">
      <c r="B8" s="380"/>
      <c r="C8" s="381"/>
      <c r="D8" s="381"/>
      <c r="E8" s="381"/>
      <c r="F8" s="381"/>
      <c r="G8" s="382"/>
      <c r="I8" s="233"/>
      <c r="J8" s="234"/>
      <c r="K8" s="234"/>
      <c r="L8" s="51" t="s">
        <v>121</v>
      </c>
      <c r="M8" s="363" t="s">
        <v>155</v>
      </c>
      <c r="N8" s="364"/>
      <c r="O8" s="51" t="s">
        <v>124</v>
      </c>
      <c r="P8" s="85">
        <v>1.5</v>
      </c>
      <c r="Q8" s="53" t="s">
        <v>120</v>
      </c>
    </row>
    <row r="9" spans="2:18" ht="16.5" customHeight="1" x14ac:dyDescent="0.35">
      <c r="B9" s="4"/>
      <c r="D9" s="385" t="s">
        <v>328</v>
      </c>
      <c r="E9" s="386"/>
      <c r="F9" s="383" t="s">
        <v>329</v>
      </c>
      <c r="G9" s="384"/>
      <c r="I9" s="187"/>
      <c r="L9" s="52" t="s">
        <v>122</v>
      </c>
      <c r="M9" s="365"/>
      <c r="N9" s="366"/>
      <c r="O9" s="51" t="s">
        <v>124</v>
      </c>
      <c r="P9" s="72"/>
      <c r="Q9" s="53" t="s">
        <v>120</v>
      </c>
    </row>
    <row r="10" spans="2:18" x14ac:dyDescent="0.35">
      <c r="B10" s="376" t="s">
        <v>330</v>
      </c>
      <c r="C10" s="377"/>
      <c r="D10" s="378">
        <v>0.9</v>
      </c>
      <c r="E10" s="379"/>
      <c r="F10" s="378">
        <v>0.1</v>
      </c>
      <c r="G10" s="379"/>
      <c r="I10" s="4"/>
      <c r="L10" s="52" t="s">
        <v>123</v>
      </c>
      <c r="M10" s="367"/>
      <c r="N10" s="368"/>
      <c r="O10" s="51" t="s">
        <v>124</v>
      </c>
      <c r="P10" s="72"/>
      <c r="Q10" s="53" t="s">
        <v>120</v>
      </c>
    </row>
    <row r="11" spans="2:18" ht="15" thickBot="1" x14ac:dyDescent="0.4">
      <c r="B11" s="376" t="s">
        <v>332</v>
      </c>
      <c r="C11" s="377"/>
      <c r="D11" s="378">
        <v>0.38</v>
      </c>
      <c r="E11" s="379"/>
      <c r="F11" s="378">
        <v>0.33</v>
      </c>
      <c r="G11" s="379"/>
      <c r="I11" s="4"/>
      <c r="Q11" s="5"/>
    </row>
    <row r="12" spans="2:18" x14ac:dyDescent="0.35">
      <c r="B12" s="237"/>
      <c r="C12" s="238"/>
      <c r="D12" s="360" t="s">
        <v>326</v>
      </c>
      <c r="E12" s="362" t="s">
        <v>327</v>
      </c>
      <c r="F12" s="360" t="s">
        <v>326</v>
      </c>
      <c r="G12" s="362" t="s">
        <v>327</v>
      </c>
      <c r="I12" s="4"/>
      <c r="J12" s="372" t="s">
        <v>333</v>
      </c>
      <c r="K12" s="373"/>
      <c r="L12" s="374" t="s">
        <v>329</v>
      </c>
      <c r="M12" s="375"/>
      <c r="N12" s="256" t="s">
        <v>336</v>
      </c>
      <c r="Q12" s="5"/>
    </row>
    <row r="13" spans="2:18" ht="42.5" customHeight="1" x14ac:dyDescent="0.35">
      <c r="B13" s="123" t="s">
        <v>0</v>
      </c>
      <c r="C13" s="169" t="s">
        <v>291</v>
      </c>
      <c r="D13" s="361"/>
      <c r="E13" s="362"/>
      <c r="F13" s="361"/>
      <c r="G13" s="362"/>
      <c r="I13" s="243" t="s">
        <v>0</v>
      </c>
      <c r="J13" s="235" t="s">
        <v>334</v>
      </c>
      <c r="K13" s="236" t="s">
        <v>335</v>
      </c>
      <c r="L13" s="235" t="s">
        <v>334</v>
      </c>
      <c r="M13" s="236" t="s">
        <v>335</v>
      </c>
      <c r="N13" s="253" t="s">
        <v>337</v>
      </c>
      <c r="O13" s="250" t="s">
        <v>117</v>
      </c>
      <c r="P13" s="124" t="s">
        <v>118</v>
      </c>
      <c r="Q13" s="14" t="s">
        <v>119</v>
      </c>
      <c r="R13" s="164"/>
    </row>
    <row r="14" spans="2:18" x14ac:dyDescent="0.35">
      <c r="B14" s="6">
        <v>3</v>
      </c>
      <c r="C14" s="86">
        <v>0.25</v>
      </c>
      <c r="D14" s="6">
        <v>0.02</v>
      </c>
      <c r="E14" s="64">
        <v>0.02</v>
      </c>
      <c r="F14" s="223">
        <f>D14*0.6</f>
        <v>1.2E-2</v>
      </c>
      <c r="G14" s="64">
        <v>0.01</v>
      </c>
      <c r="I14" s="244">
        <v>3</v>
      </c>
      <c r="J14" s="246">
        <f>(((('Steps 1-6'!$C$7*'Steps 1-6'!$C$10)*C14)*$D$10)*E14)/16</f>
        <v>25.3125</v>
      </c>
      <c r="K14" s="247">
        <f>J14/$D$11</f>
        <v>66.61184210526315</v>
      </c>
      <c r="L14" s="239">
        <f>(((('Steps 1-6'!$C$7*'Steps 1-6'!$C$10)*C14)*$F$10)*G14)/16</f>
        <v>1.40625</v>
      </c>
      <c r="M14" s="240">
        <f>L14/$F$11</f>
        <v>4.2613636363636358</v>
      </c>
      <c r="N14" s="254">
        <f>K14+M14</f>
        <v>70.873205741626791</v>
      </c>
      <c r="O14" s="251">
        <v>1</v>
      </c>
      <c r="P14" s="86"/>
      <c r="Q14" s="81"/>
    </row>
    <row r="15" spans="2:18" x14ac:dyDescent="0.35">
      <c r="B15" s="6">
        <v>4</v>
      </c>
      <c r="C15" s="86">
        <v>0.45</v>
      </c>
      <c r="D15" s="6">
        <v>0.17</v>
      </c>
      <c r="E15" s="64">
        <v>0.17</v>
      </c>
      <c r="F15" s="221">
        <f t="shared" ref="F15:F26" si="0">D15*0.6</f>
        <v>0.10200000000000001</v>
      </c>
      <c r="G15" s="64">
        <v>0.1</v>
      </c>
      <c r="I15" s="244">
        <v>4</v>
      </c>
      <c r="J15" s="246">
        <f>(((('Steps 1-6'!$C$7*'Steps 1-6'!$C$10)*C15)*$D$10)*E15)/16</f>
        <v>387.28125</v>
      </c>
      <c r="K15" s="247">
        <f t="shared" ref="K15:K26" si="1">J15/$D$11</f>
        <v>1019.1611842105264</v>
      </c>
      <c r="L15" s="239">
        <f>(((('Steps 1-6'!$C$7*'Steps 1-6'!$C$10)*C15)*$F$10)*G15)/16</f>
        <v>25.3125</v>
      </c>
      <c r="M15" s="240">
        <f t="shared" ref="M15:M26" si="2">L15/$F$11</f>
        <v>76.704545454545453</v>
      </c>
      <c r="N15" s="254">
        <f t="shared" ref="N15:N26" si="3">K15+M15</f>
        <v>1095.8657296650717</v>
      </c>
      <c r="O15" s="251">
        <v>1</v>
      </c>
      <c r="P15" s="86"/>
      <c r="Q15" s="81"/>
    </row>
    <row r="16" spans="2:18" x14ac:dyDescent="0.35">
      <c r="B16" s="6">
        <v>5</v>
      </c>
      <c r="C16" s="86">
        <v>0.75</v>
      </c>
      <c r="D16" s="6">
        <v>0.28000000000000003</v>
      </c>
      <c r="E16" s="64">
        <v>0.28000000000000003</v>
      </c>
      <c r="F16" s="221">
        <f t="shared" si="0"/>
        <v>0.16800000000000001</v>
      </c>
      <c r="G16" s="64">
        <v>0.17</v>
      </c>
      <c r="I16" s="244">
        <v>5</v>
      </c>
      <c r="J16" s="246">
        <f>(((('Steps 1-6'!$C$7*'Steps 1-6'!$C$10)*C16)*$D$10)*E16)/16</f>
        <v>1063.125</v>
      </c>
      <c r="K16" s="247">
        <f t="shared" si="1"/>
        <v>2797.6973684210525</v>
      </c>
      <c r="L16" s="239">
        <f>(((('Steps 1-6'!$C$7*'Steps 1-6'!$C$10)*C16)*$F$10)*G16)/16</f>
        <v>71.71875</v>
      </c>
      <c r="M16" s="240">
        <f t="shared" si="2"/>
        <v>217.32954545454544</v>
      </c>
      <c r="N16" s="254">
        <f t="shared" si="3"/>
        <v>3015.026913875598</v>
      </c>
      <c r="O16" s="251">
        <v>1</v>
      </c>
      <c r="P16" s="86"/>
      <c r="Q16" s="81"/>
    </row>
    <row r="17" spans="2:20" x14ac:dyDescent="0.35">
      <c r="B17" s="6">
        <v>6</v>
      </c>
      <c r="C17" s="86">
        <v>0.85</v>
      </c>
      <c r="D17" s="6">
        <v>0.42</v>
      </c>
      <c r="E17" s="64">
        <v>0.42</v>
      </c>
      <c r="F17" s="221">
        <f t="shared" si="0"/>
        <v>0.252</v>
      </c>
      <c r="G17" s="64">
        <v>0.25</v>
      </c>
      <c r="I17" s="244">
        <v>6</v>
      </c>
      <c r="J17" s="246">
        <f>(((('Steps 1-6'!$C$7*'Steps 1-6'!$C$10)*C17)*$D$10)*E17)/16</f>
        <v>1807.3125</v>
      </c>
      <c r="K17" s="247">
        <f t="shared" si="1"/>
        <v>4756.0855263157891</v>
      </c>
      <c r="L17" s="239">
        <f>(((('Steps 1-6'!$C$7*'Steps 1-6'!$C$10)*C17)*$F$10)*G17)/16</f>
        <v>119.53125</v>
      </c>
      <c r="M17" s="240">
        <f t="shared" si="2"/>
        <v>362.21590909090907</v>
      </c>
      <c r="N17" s="254">
        <f t="shared" si="3"/>
        <v>5118.3014354066981</v>
      </c>
      <c r="O17" s="251">
        <v>1</v>
      </c>
      <c r="P17" s="86"/>
      <c r="Q17" s="81"/>
    </row>
    <row r="18" spans="2:20" x14ac:dyDescent="0.35">
      <c r="B18" s="6">
        <v>7</v>
      </c>
      <c r="C18" s="86">
        <v>0.9</v>
      </c>
      <c r="D18" s="6">
        <v>0.62</v>
      </c>
      <c r="E18" s="64">
        <v>0.62</v>
      </c>
      <c r="F18" s="221">
        <f t="shared" si="0"/>
        <v>0.372</v>
      </c>
      <c r="G18" s="64">
        <v>0.37</v>
      </c>
      <c r="I18" s="244">
        <v>7</v>
      </c>
      <c r="J18" s="246">
        <f>(((('Steps 1-6'!$C$7*'Steps 1-6'!$C$10)*C18)*$D$10)*E18)/16</f>
        <v>2824.875</v>
      </c>
      <c r="K18" s="247">
        <f t="shared" si="1"/>
        <v>7433.8815789473683</v>
      </c>
      <c r="L18" s="239">
        <f>(((('Steps 1-6'!$C$7*'Steps 1-6'!$C$10)*C18)*$F$10)*G18)/16</f>
        <v>187.3125</v>
      </c>
      <c r="M18" s="240">
        <f t="shared" si="2"/>
        <v>567.61363636363637</v>
      </c>
      <c r="N18" s="254">
        <f t="shared" si="3"/>
        <v>8001.4952153110044</v>
      </c>
      <c r="O18" s="251">
        <v>1</v>
      </c>
      <c r="P18" s="86"/>
      <c r="Q18" s="81"/>
    </row>
    <row r="19" spans="2:20" x14ac:dyDescent="0.35">
      <c r="B19" s="6">
        <v>8</v>
      </c>
      <c r="C19" s="86">
        <v>1</v>
      </c>
      <c r="D19" s="6">
        <v>0.66</v>
      </c>
      <c r="E19" s="64">
        <v>0.66</v>
      </c>
      <c r="F19" s="221">
        <f t="shared" si="0"/>
        <v>0.39600000000000002</v>
      </c>
      <c r="G19" s="64">
        <v>0.4</v>
      </c>
      <c r="I19" s="244">
        <v>8</v>
      </c>
      <c r="J19" s="246">
        <f>(((('Steps 1-6'!$C$7*'Steps 1-6'!$C$10)*C19)*$D$10)*E19)/16</f>
        <v>3341.25</v>
      </c>
      <c r="K19" s="247">
        <f t="shared" si="1"/>
        <v>8792.7631578947367</v>
      </c>
      <c r="L19" s="239">
        <f>(((('Steps 1-6'!$C$7*'Steps 1-6'!$C$10)*C19)*$F$10)*G19)/16</f>
        <v>225</v>
      </c>
      <c r="M19" s="240">
        <f t="shared" si="2"/>
        <v>681.81818181818176</v>
      </c>
      <c r="N19" s="254">
        <f t="shared" si="3"/>
        <v>9474.5813397129186</v>
      </c>
      <c r="O19" s="251">
        <v>1</v>
      </c>
      <c r="P19" s="86"/>
      <c r="Q19" s="81"/>
      <c r="T19" s="114"/>
    </row>
    <row r="20" spans="2:20" x14ac:dyDescent="0.35">
      <c r="B20" s="6">
        <v>9</v>
      </c>
      <c r="C20" s="86">
        <v>1</v>
      </c>
      <c r="D20" s="6">
        <v>0.72</v>
      </c>
      <c r="E20" s="64">
        <v>0.72</v>
      </c>
      <c r="F20" s="221">
        <f t="shared" si="0"/>
        <v>0.432</v>
      </c>
      <c r="G20" s="64">
        <v>0.43</v>
      </c>
      <c r="I20" s="244">
        <v>9</v>
      </c>
      <c r="J20" s="246">
        <f>(((('Steps 1-6'!$C$7*'Steps 1-6'!$C$10)*C20)*$D$10)*E20)/16</f>
        <v>3645</v>
      </c>
      <c r="K20" s="247">
        <f t="shared" si="1"/>
        <v>9592.105263157895</v>
      </c>
      <c r="L20" s="239">
        <f>(((('Steps 1-6'!$C$7*'Steps 1-6'!$C$10)*C20)*$F$10)*G20)/16</f>
        <v>241.875</v>
      </c>
      <c r="M20" s="240">
        <f t="shared" si="2"/>
        <v>732.95454545454538</v>
      </c>
      <c r="N20" s="254">
        <f t="shared" si="3"/>
        <v>10325.059808612441</v>
      </c>
      <c r="O20" s="251">
        <v>1</v>
      </c>
      <c r="P20" s="86"/>
      <c r="Q20" s="81"/>
      <c r="T20" s="114"/>
    </row>
    <row r="21" spans="2:20" x14ac:dyDescent="0.35">
      <c r="B21" s="6">
        <v>10</v>
      </c>
      <c r="C21" s="86">
        <v>1</v>
      </c>
      <c r="D21" s="6">
        <v>0.72</v>
      </c>
      <c r="E21" s="64">
        <v>0.72</v>
      </c>
      <c r="F21" s="221">
        <f t="shared" si="0"/>
        <v>0.432</v>
      </c>
      <c r="G21" s="64">
        <v>0.43</v>
      </c>
      <c r="I21" s="244">
        <v>10</v>
      </c>
      <c r="J21" s="246">
        <f>(((('Steps 1-6'!$C$7*'Steps 1-6'!$C$10)*C21)*$D$10)*E21)/16</f>
        <v>3645</v>
      </c>
      <c r="K21" s="247">
        <f t="shared" si="1"/>
        <v>9592.105263157895</v>
      </c>
      <c r="L21" s="239">
        <f>(((('Steps 1-6'!$C$7*'Steps 1-6'!$C$10)*C21)*$F$10)*G21)/16</f>
        <v>241.875</v>
      </c>
      <c r="M21" s="240">
        <f t="shared" si="2"/>
        <v>732.95454545454538</v>
      </c>
      <c r="N21" s="254">
        <f t="shared" si="3"/>
        <v>10325.059808612441</v>
      </c>
      <c r="O21" s="251">
        <v>1</v>
      </c>
      <c r="P21" s="86"/>
      <c r="Q21" s="81"/>
      <c r="T21" s="114"/>
    </row>
    <row r="22" spans="2:20" x14ac:dyDescent="0.35">
      <c r="B22" s="6">
        <v>11</v>
      </c>
      <c r="C22" s="86">
        <v>1</v>
      </c>
      <c r="D22" s="6">
        <v>0.85</v>
      </c>
      <c r="E22" s="64">
        <v>0.85</v>
      </c>
      <c r="F22" s="221">
        <f t="shared" si="0"/>
        <v>0.51</v>
      </c>
      <c r="G22" s="64">
        <v>0.51</v>
      </c>
      <c r="I22" s="244">
        <v>11</v>
      </c>
      <c r="J22" s="246">
        <f>(((('Steps 1-6'!$C$7*'Steps 1-6'!$C$10)*C22)*$D$10)*E22)/16</f>
        <v>4303.125</v>
      </c>
      <c r="K22" s="247">
        <f t="shared" si="1"/>
        <v>11324.013157894737</v>
      </c>
      <c r="L22" s="239">
        <f>(((('Steps 1-6'!$C$7*'Steps 1-6'!$C$10)*C22)*$F$10)*G22)/16</f>
        <v>286.875</v>
      </c>
      <c r="M22" s="240">
        <f t="shared" si="2"/>
        <v>869.31818181818176</v>
      </c>
      <c r="N22" s="254">
        <f t="shared" si="3"/>
        <v>12193.331339712919</v>
      </c>
      <c r="O22" s="251">
        <v>1</v>
      </c>
      <c r="P22" s="86"/>
      <c r="Q22" s="81"/>
      <c r="T22" s="114"/>
    </row>
    <row r="23" spans="2:20" x14ac:dyDescent="0.35">
      <c r="B23" s="6">
        <v>12</v>
      </c>
      <c r="C23" s="86">
        <v>1</v>
      </c>
      <c r="D23" s="6">
        <v>0.72</v>
      </c>
      <c r="E23" s="64">
        <v>0.72</v>
      </c>
      <c r="F23" s="221">
        <f t="shared" si="0"/>
        <v>0.432</v>
      </c>
      <c r="G23" s="64">
        <v>0.43</v>
      </c>
      <c r="I23" s="244">
        <v>12</v>
      </c>
      <c r="J23" s="246">
        <f>(((('Steps 1-6'!$C$7*'Steps 1-6'!$C$10)*C23)*$D$10)*E23)/16</f>
        <v>3645</v>
      </c>
      <c r="K23" s="247">
        <f t="shared" si="1"/>
        <v>9592.105263157895</v>
      </c>
      <c r="L23" s="239">
        <f>(((('Steps 1-6'!$C$7*'Steps 1-6'!$C$10)*C23)*$F$10)*G23)/16</f>
        <v>241.875</v>
      </c>
      <c r="M23" s="240">
        <f t="shared" si="2"/>
        <v>732.95454545454538</v>
      </c>
      <c r="N23" s="254">
        <f t="shared" si="3"/>
        <v>10325.059808612441</v>
      </c>
      <c r="O23" s="251">
        <v>1</v>
      </c>
      <c r="P23" s="86"/>
      <c r="Q23" s="81"/>
      <c r="T23" s="114"/>
    </row>
    <row r="24" spans="2:20" x14ac:dyDescent="0.35">
      <c r="B24" s="6">
        <v>13</v>
      </c>
      <c r="C24" s="86">
        <v>1</v>
      </c>
      <c r="D24" s="6">
        <v>0.85</v>
      </c>
      <c r="E24" s="64">
        <v>0.85</v>
      </c>
      <c r="F24" s="221">
        <f t="shared" si="0"/>
        <v>0.51</v>
      </c>
      <c r="G24" s="64">
        <v>0.51</v>
      </c>
      <c r="I24" s="244">
        <v>13</v>
      </c>
      <c r="J24" s="246">
        <f>(((('Steps 1-6'!$C$7*'Steps 1-6'!$C$10)*C24)*$D$10)*E24)/16</f>
        <v>4303.125</v>
      </c>
      <c r="K24" s="247">
        <f t="shared" si="1"/>
        <v>11324.013157894737</v>
      </c>
      <c r="L24" s="239">
        <f>(((('Steps 1-6'!$C$7*'Steps 1-6'!$C$10)*C24)*$F$10)*G24)/16</f>
        <v>286.875</v>
      </c>
      <c r="M24" s="240">
        <f t="shared" si="2"/>
        <v>869.31818181818176</v>
      </c>
      <c r="N24" s="254">
        <f t="shared" si="3"/>
        <v>12193.331339712919</v>
      </c>
      <c r="O24" s="251">
        <v>1</v>
      </c>
      <c r="P24" s="86"/>
      <c r="Q24" s="81"/>
      <c r="T24" s="114"/>
    </row>
    <row r="25" spans="2:20" x14ac:dyDescent="0.35">
      <c r="B25" s="6">
        <v>14</v>
      </c>
      <c r="C25" s="86">
        <v>1</v>
      </c>
      <c r="D25" s="6">
        <v>0.72</v>
      </c>
      <c r="E25" s="64">
        <v>0.72</v>
      </c>
      <c r="F25" s="221">
        <f t="shared" si="0"/>
        <v>0.432</v>
      </c>
      <c r="G25" s="64">
        <v>0.43</v>
      </c>
      <c r="I25" s="244">
        <v>14</v>
      </c>
      <c r="J25" s="246">
        <f>(((('Steps 1-6'!$C$7*'Steps 1-6'!$C$10)*C25)*$D$10)*E25)/16</f>
        <v>3645</v>
      </c>
      <c r="K25" s="247">
        <f t="shared" si="1"/>
        <v>9592.105263157895</v>
      </c>
      <c r="L25" s="239">
        <f>(((('Steps 1-6'!$C$7*'Steps 1-6'!$C$10)*C25)*$F$10)*G25)/16</f>
        <v>241.875</v>
      </c>
      <c r="M25" s="240">
        <f t="shared" si="2"/>
        <v>732.95454545454538</v>
      </c>
      <c r="N25" s="254">
        <f t="shared" si="3"/>
        <v>10325.059808612441</v>
      </c>
      <c r="O25" s="251">
        <v>1</v>
      </c>
      <c r="P25" s="86"/>
      <c r="Q25" s="81"/>
      <c r="T25" s="114"/>
    </row>
    <row r="26" spans="2:20" ht="15.75" customHeight="1" thickBot="1" x14ac:dyDescent="0.4">
      <c r="B26" s="7">
        <v>15</v>
      </c>
      <c r="C26" s="117">
        <v>1</v>
      </c>
      <c r="D26" s="7">
        <v>0.85</v>
      </c>
      <c r="E26" s="290">
        <v>0.85</v>
      </c>
      <c r="F26" s="222">
        <f t="shared" si="0"/>
        <v>0.51</v>
      </c>
      <c r="G26" s="290">
        <v>0.51</v>
      </c>
      <c r="I26" s="245">
        <v>15</v>
      </c>
      <c r="J26" s="248">
        <f>(((('Steps 1-6'!$C$7*'Steps 1-6'!$C$10)*C26)*$D$10)*E26)/16</f>
        <v>4303.125</v>
      </c>
      <c r="K26" s="249">
        <f t="shared" si="1"/>
        <v>11324.013157894737</v>
      </c>
      <c r="L26" s="241">
        <f>(((('Steps 1-6'!$C$7*'Steps 1-6'!$C$10)*C26)*$F$10)*G26)/16</f>
        <v>286.875</v>
      </c>
      <c r="M26" s="242">
        <f t="shared" si="2"/>
        <v>869.31818181818176</v>
      </c>
      <c r="N26" s="255">
        <f t="shared" si="3"/>
        <v>12193.331339712919</v>
      </c>
      <c r="O26" s="252">
        <v>1</v>
      </c>
      <c r="P26" s="117"/>
      <c r="Q26" s="118"/>
      <c r="T26" s="116"/>
    </row>
    <row r="27" spans="2:20" ht="15.75" customHeight="1" x14ac:dyDescent="0.35">
      <c r="B27" s="202"/>
      <c r="C27" s="225"/>
      <c r="D27" s="202"/>
      <c r="E27" s="202"/>
      <c r="F27" s="115"/>
      <c r="G27" s="202"/>
      <c r="T27" s="116"/>
    </row>
    <row r="28" spans="2:20" ht="15.5" x14ac:dyDescent="0.35">
      <c r="B28" s="46" t="s">
        <v>356</v>
      </c>
      <c r="I28" s="202"/>
      <c r="J28" s="226"/>
      <c r="K28" s="227"/>
      <c r="L28" s="228"/>
      <c r="M28" s="229"/>
      <c r="N28" s="225"/>
      <c r="O28" s="225"/>
      <c r="P28" s="225"/>
    </row>
    <row r="29" spans="2:20" x14ac:dyDescent="0.35">
      <c r="B29" s="359" t="s">
        <v>357</v>
      </c>
      <c r="C29" s="359"/>
      <c r="D29" s="359"/>
      <c r="E29" s="359"/>
      <c r="F29" s="359"/>
      <c r="G29" s="359"/>
      <c r="N29" s="116"/>
    </row>
    <row r="30" spans="2:20" ht="15" customHeight="1" x14ac:dyDescent="0.35">
      <c r="B30" s="359"/>
      <c r="C30" s="359"/>
      <c r="D30" s="359"/>
      <c r="E30" s="359"/>
      <c r="F30" s="359"/>
      <c r="G30" s="359"/>
    </row>
    <row r="31" spans="2:20" ht="15" customHeight="1" x14ac:dyDescent="0.35">
      <c r="B31" s="359"/>
      <c r="C31" s="359"/>
      <c r="D31" s="359"/>
      <c r="E31" s="359"/>
      <c r="F31" s="359"/>
      <c r="G31" s="359"/>
    </row>
    <row r="32" spans="2:20" ht="15" customHeight="1" x14ac:dyDescent="0.35">
      <c r="B32" s="359"/>
      <c r="C32" s="359"/>
      <c r="D32" s="359"/>
      <c r="E32" s="359"/>
      <c r="F32" s="359"/>
      <c r="G32" s="359"/>
    </row>
    <row r="33" spans="2:7" ht="15" customHeight="1" x14ac:dyDescent="0.35">
      <c r="B33" s="359"/>
      <c r="C33" s="359"/>
      <c r="D33" s="359"/>
      <c r="E33" s="359"/>
      <c r="F33" s="359"/>
      <c r="G33" s="359"/>
    </row>
    <row r="34" spans="2:7" x14ac:dyDescent="0.35">
      <c r="B34" s="359"/>
      <c r="C34" s="359"/>
      <c r="D34" s="359"/>
      <c r="E34" s="359"/>
      <c r="F34" s="359"/>
      <c r="G34" s="359"/>
    </row>
    <row r="35" spans="2:7" x14ac:dyDescent="0.35">
      <c r="B35" s="359"/>
      <c r="C35" s="359"/>
      <c r="D35" s="359"/>
      <c r="E35" s="359"/>
      <c r="F35" s="359"/>
      <c r="G35" s="359"/>
    </row>
    <row r="36" spans="2:7" x14ac:dyDescent="0.35">
      <c r="B36" s="359"/>
      <c r="C36" s="359"/>
      <c r="D36" s="359"/>
      <c r="E36" s="359"/>
      <c r="F36" s="359"/>
      <c r="G36" s="359"/>
    </row>
    <row r="37" spans="2:7" ht="15" customHeight="1" x14ac:dyDescent="0.35"/>
    <row r="38" spans="2:7" ht="15" customHeight="1" x14ac:dyDescent="0.35"/>
    <row r="39" spans="2:7" ht="15" customHeight="1" x14ac:dyDescent="0.35"/>
  </sheetData>
  <sheetProtection algorithmName="SHA-512" hashValue="dXwcrPFs9C8z37nEudqcRHSPx7TYVxHXQEysMS6dA1UkZadiCTXTRr4oNdRyzYH4Pm30q58Jl6voHXURNvpOYQ==" saltValue="Z8VGy9ydT9UMDAw4JEOsug==" spinCount="100000" sheet="1" objects="1" scenarios="1" selectLockedCells="1"/>
  <mergeCells count="20">
    <mergeCell ref="B11:C11"/>
    <mergeCell ref="D11:E11"/>
    <mergeCell ref="F11:G11"/>
    <mergeCell ref="B3:G8"/>
    <mergeCell ref="F9:G9"/>
    <mergeCell ref="D9:E9"/>
    <mergeCell ref="B10:C10"/>
    <mergeCell ref="D10:E10"/>
    <mergeCell ref="F10:G10"/>
    <mergeCell ref="M8:N8"/>
    <mergeCell ref="M9:N9"/>
    <mergeCell ref="M10:N10"/>
    <mergeCell ref="I4:Q5"/>
    <mergeCell ref="J12:K12"/>
    <mergeCell ref="L12:M12"/>
    <mergeCell ref="B29:G36"/>
    <mergeCell ref="D12:D13"/>
    <mergeCell ref="E12:E13"/>
    <mergeCell ref="F12:F13"/>
    <mergeCell ref="G12:G13"/>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6CD56-315A-487B-A698-46CFD8FC0B88}">
  <sheetPr codeName="Sheet12"/>
  <dimension ref="B1:P27"/>
  <sheetViews>
    <sheetView showGridLines="0" topLeftCell="C1" zoomScale="90" zoomScaleNormal="90" workbookViewId="0">
      <selection activeCell="C19" sqref="C19"/>
    </sheetView>
  </sheetViews>
  <sheetFormatPr defaultRowHeight="14.5" x14ac:dyDescent="0.35"/>
  <cols>
    <col min="3" max="3" width="14.7265625" customWidth="1"/>
    <col min="4" max="4" width="11.7265625" customWidth="1"/>
    <col min="7" max="8" width="13.453125" customWidth="1"/>
    <col min="9" max="9" width="13.90625" customWidth="1"/>
    <col min="12" max="12" width="25.6328125" customWidth="1"/>
    <col min="13" max="13" width="9.36328125" customWidth="1"/>
    <col min="14" max="14" width="11" customWidth="1"/>
    <col min="16" max="16" width="10.1796875" customWidth="1"/>
  </cols>
  <sheetData>
    <row r="1" spans="2:16" ht="15" thickBot="1" x14ac:dyDescent="0.4"/>
    <row r="2" spans="2:16" ht="15.5" x14ac:dyDescent="0.35">
      <c r="B2" s="45" t="s">
        <v>300</v>
      </c>
      <c r="C2" s="26"/>
      <c r="D2" s="26"/>
      <c r="E2" s="27"/>
      <c r="G2" s="43" t="s">
        <v>301</v>
      </c>
      <c r="H2" s="26"/>
      <c r="I2" s="26"/>
      <c r="J2" s="27"/>
      <c r="L2" s="45" t="s">
        <v>323</v>
      </c>
      <c r="M2" s="26"/>
      <c r="N2" s="26"/>
      <c r="O2" s="26"/>
      <c r="P2" s="27"/>
    </row>
    <row r="3" spans="2:16" x14ac:dyDescent="0.35">
      <c r="B3" s="28" t="s">
        <v>161</v>
      </c>
      <c r="E3" s="5"/>
      <c r="G3" s="28" t="s">
        <v>125</v>
      </c>
      <c r="J3" s="5"/>
      <c r="L3" s="4"/>
      <c r="P3" s="5"/>
    </row>
    <row r="4" spans="2:16" ht="29" x14ac:dyDescent="0.35">
      <c r="B4" s="397" t="s">
        <v>338</v>
      </c>
      <c r="C4" s="398"/>
      <c r="D4" s="398"/>
      <c r="E4" s="399"/>
      <c r="F4" s="190"/>
      <c r="G4" s="397" t="s">
        <v>176</v>
      </c>
      <c r="H4" s="398"/>
      <c r="I4" s="398"/>
      <c r="J4" s="399"/>
      <c r="L4" s="178" t="s">
        <v>127</v>
      </c>
      <c r="M4" s="22" t="s">
        <v>128</v>
      </c>
      <c r="N4" s="54" t="s">
        <v>129</v>
      </c>
      <c r="O4" s="400" t="s">
        <v>132</v>
      </c>
      <c r="P4" s="401"/>
    </row>
    <row r="5" spans="2:16" x14ac:dyDescent="0.35">
      <c r="B5" s="397"/>
      <c r="C5" s="398"/>
      <c r="D5" s="398"/>
      <c r="E5" s="399"/>
      <c r="F5" s="190"/>
      <c r="G5" s="397"/>
      <c r="H5" s="398"/>
      <c r="I5" s="398"/>
      <c r="J5" s="399"/>
      <c r="L5" s="179" t="s">
        <v>130</v>
      </c>
      <c r="M5" s="87"/>
      <c r="N5" s="72"/>
      <c r="O5" s="387"/>
      <c r="P5" s="388"/>
    </row>
    <row r="6" spans="2:16" x14ac:dyDescent="0.35">
      <c r="B6" s="397"/>
      <c r="C6" s="398"/>
      <c r="D6" s="398"/>
      <c r="E6" s="399"/>
      <c r="F6" s="190"/>
      <c r="G6" s="397"/>
      <c r="H6" s="398"/>
      <c r="I6" s="398"/>
      <c r="J6" s="399"/>
      <c r="L6" s="179" t="s">
        <v>131</v>
      </c>
      <c r="M6" s="87"/>
      <c r="N6" s="72"/>
      <c r="O6" s="387"/>
      <c r="P6" s="388"/>
    </row>
    <row r="7" spans="2:16" x14ac:dyDescent="0.35">
      <c r="B7" s="397"/>
      <c r="C7" s="398"/>
      <c r="D7" s="398"/>
      <c r="E7" s="399"/>
      <c r="F7" s="190"/>
      <c r="G7" s="4"/>
      <c r="H7" s="52" t="s">
        <v>171</v>
      </c>
      <c r="I7" s="293">
        <v>400</v>
      </c>
      <c r="J7" s="125" t="s">
        <v>128</v>
      </c>
      <c r="K7" s="115"/>
      <c r="L7" s="179" t="s">
        <v>144</v>
      </c>
      <c r="M7" s="87"/>
      <c r="N7" s="72"/>
      <c r="O7" s="387"/>
      <c r="P7" s="388"/>
    </row>
    <row r="8" spans="2:16" x14ac:dyDescent="0.35">
      <c r="B8" s="4"/>
      <c r="E8" s="5"/>
      <c r="G8" s="187"/>
      <c r="H8" s="52" t="s">
        <v>175</v>
      </c>
      <c r="I8" s="294">
        <v>0</v>
      </c>
      <c r="J8" s="125" t="s">
        <v>172</v>
      </c>
      <c r="L8" s="179" t="s">
        <v>145</v>
      </c>
      <c r="M8" s="87"/>
      <c r="N8" s="72"/>
      <c r="O8" s="387"/>
      <c r="P8" s="388"/>
    </row>
    <row r="9" spans="2:16" x14ac:dyDescent="0.35">
      <c r="B9" s="4"/>
      <c r="C9" s="52" t="s">
        <v>162</v>
      </c>
      <c r="D9" s="291">
        <v>13</v>
      </c>
      <c r="E9" s="5" t="s">
        <v>128</v>
      </c>
      <c r="G9" s="187"/>
      <c r="H9" s="52" t="s">
        <v>173</v>
      </c>
      <c r="I9" s="295">
        <v>10</v>
      </c>
      <c r="J9" s="125" t="s">
        <v>164</v>
      </c>
      <c r="L9" s="179" t="s">
        <v>279</v>
      </c>
      <c r="M9" s="87"/>
      <c r="N9" s="72"/>
      <c r="O9" s="387"/>
      <c r="P9" s="388"/>
    </row>
    <row r="10" spans="2:16" x14ac:dyDescent="0.35">
      <c r="B10" s="4"/>
      <c r="C10" s="52" t="s">
        <v>163</v>
      </c>
      <c r="D10" s="72">
        <v>15</v>
      </c>
      <c r="E10" s="5" t="s">
        <v>164</v>
      </c>
      <c r="G10" s="187"/>
      <c r="H10" s="52" t="s">
        <v>174</v>
      </c>
      <c r="I10" s="295">
        <v>0</v>
      </c>
      <c r="J10" s="125" t="s">
        <v>164</v>
      </c>
      <c r="L10" s="179" t="s">
        <v>278</v>
      </c>
      <c r="M10" s="87"/>
      <c r="N10" s="72"/>
      <c r="O10" s="387"/>
      <c r="P10" s="388"/>
    </row>
    <row r="11" spans="2:16" x14ac:dyDescent="0.35">
      <c r="B11" s="4"/>
      <c r="C11" s="52" t="s">
        <v>165</v>
      </c>
      <c r="D11" s="176">
        <f>'harvester 1.0'!F13</f>
        <v>4050</v>
      </c>
      <c r="E11" s="5" t="s">
        <v>128</v>
      </c>
      <c r="G11" s="187"/>
      <c r="H11" s="189"/>
      <c r="I11" s="189"/>
      <c r="J11" s="188"/>
      <c r="L11" s="179" t="s">
        <v>146</v>
      </c>
      <c r="M11" s="87"/>
      <c r="N11" s="72"/>
      <c r="O11" s="387"/>
      <c r="P11" s="388"/>
    </row>
    <row r="12" spans="2:16" ht="14.5" customHeight="1" x14ac:dyDescent="0.35">
      <c r="B12" s="4"/>
      <c r="C12" s="52" t="s">
        <v>166</v>
      </c>
      <c r="D12" s="177">
        <f>'harvester 1.0'!F20</f>
        <v>967.6931428571429</v>
      </c>
      <c r="E12" s="5" t="s">
        <v>277</v>
      </c>
      <c r="G12" s="224" t="s">
        <v>0</v>
      </c>
      <c r="H12" s="56" t="s">
        <v>126</v>
      </c>
      <c r="I12" s="55" t="s">
        <v>22</v>
      </c>
      <c r="J12" s="5"/>
      <c r="L12" s="389" t="s">
        <v>324</v>
      </c>
      <c r="M12" s="390"/>
      <c r="N12" s="390"/>
      <c r="O12" s="390"/>
      <c r="P12" s="391"/>
    </row>
    <row r="13" spans="2:16" x14ac:dyDescent="0.35">
      <c r="B13" s="4"/>
      <c r="E13" s="5"/>
      <c r="G13" s="6">
        <v>3</v>
      </c>
      <c r="H13" s="121">
        <f>'Step 12'!M14</f>
        <v>4.2613636363636358</v>
      </c>
      <c r="I13" s="70">
        <f t="shared" ref="I13:I25" si="0">((H13/$I$7)*$I$10)+(((H13/$I$7)*$I$8)*$I$9)</f>
        <v>0</v>
      </c>
      <c r="J13" s="5"/>
      <c r="L13" s="392"/>
      <c r="M13" s="359"/>
      <c r="N13" s="359"/>
      <c r="O13" s="359"/>
      <c r="P13" s="393"/>
    </row>
    <row r="14" spans="2:16" x14ac:dyDescent="0.35">
      <c r="B14" s="123" t="s">
        <v>0</v>
      </c>
      <c r="C14" s="12" t="s">
        <v>167</v>
      </c>
      <c r="D14" s="12" t="s">
        <v>22</v>
      </c>
      <c r="E14" s="5"/>
      <c r="G14" s="6">
        <v>4</v>
      </c>
      <c r="H14" s="121">
        <f>'Step 12'!M15</f>
        <v>76.704545454545453</v>
      </c>
      <c r="I14" s="70">
        <f t="shared" si="0"/>
        <v>0</v>
      </c>
      <c r="J14" s="5"/>
      <c r="L14" s="392"/>
      <c r="M14" s="359"/>
      <c r="N14" s="359"/>
      <c r="O14" s="359"/>
      <c r="P14" s="393"/>
    </row>
    <row r="15" spans="2:16" ht="15" thickBot="1" x14ac:dyDescent="0.4">
      <c r="B15" s="6">
        <v>3</v>
      </c>
      <c r="C15" s="87" t="s">
        <v>170</v>
      </c>
      <c r="D15" s="119">
        <f>IF(C15="Hand",(('Step 12'!N14/$D$9)*$D$10),(('Step 12'!N14/$D$11)*$D$12))</f>
        <v>81.776775855723216</v>
      </c>
      <c r="E15" s="5"/>
      <c r="G15" s="6">
        <v>5</v>
      </c>
      <c r="H15" s="121">
        <f>'Step 12'!M16</f>
        <v>217.32954545454544</v>
      </c>
      <c r="I15" s="70">
        <f t="shared" si="0"/>
        <v>0</v>
      </c>
      <c r="J15" s="5"/>
      <c r="L15" s="394"/>
      <c r="M15" s="395"/>
      <c r="N15" s="395"/>
      <c r="O15" s="395"/>
      <c r="P15" s="396"/>
    </row>
    <row r="16" spans="2:16" x14ac:dyDescent="0.35">
      <c r="B16" s="6">
        <v>4</v>
      </c>
      <c r="C16" s="87" t="s">
        <v>169</v>
      </c>
      <c r="D16" s="119">
        <f>IF(C16="Hand",(('Step 12'!N15/$D$9)*$D$10),(('Step 12'!N15/$D$11)*$D$12))</f>
        <v>261.84240792321714</v>
      </c>
      <c r="E16" s="5"/>
      <c r="G16" s="6">
        <v>6</v>
      </c>
      <c r="H16" s="121">
        <f>'Step 12'!M17</f>
        <v>362.21590909090907</v>
      </c>
      <c r="I16" s="70">
        <f t="shared" si="0"/>
        <v>0</v>
      </c>
      <c r="J16" s="5"/>
    </row>
    <row r="17" spans="2:10" x14ac:dyDescent="0.35">
      <c r="B17" s="6">
        <v>5</v>
      </c>
      <c r="C17" s="87" t="s">
        <v>169</v>
      </c>
      <c r="D17" s="119">
        <f>IF(C17="Hand",(('Step 12'!N16/$D$9)*$D$10),(('Step 12'!N16/$D$11)*$D$12))</f>
        <v>720.40021483633325</v>
      </c>
      <c r="E17" s="5"/>
      <c r="G17" s="6">
        <v>7</v>
      </c>
      <c r="H17" s="121">
        <f>'Step 12'!M18</f>
        <v>567.61363636363637</v>
      </c>
      <c r="I17" s="70">
        <f t="shared" si="0"/>
        <v>0</v>
      </c>
      <c r="J17" s="5"/>
    </row>
    <row r="18" spans="2:10" x14ac:dyDescent="0.35">
      <c r="B18" s="6">
        <v>6</v>
      </c>
      <c r="C18" s="87" t="s">
        <v>169</v>
      </c>
      <c r="D18" s="119">
        <f>IF(C18="Hand",(('Step 12'!N17/$D$9)*$D$10),(('Step 12'!N17/$D$11)*$D$12))</f>
        <v>1222.949432621959</v>
      </c>
      <c r="E18" s="5"/>
      <c r="G18" s="6">
        <v>8</v>
      </c>
      <c r="H18" s="121">
        <f>'Step 12'!M19</f>
        <v>681.81818181818176</v>
      </c>
      <c r="I18" s="70">
        <f t="shared" si="0"/>
        <v>0</v>
      </c>
      <c r="J18" s="5"/>
    </row>
    <row r="19" spans="2:10" x14ac:dyDescent="0.35">
      <c r="B19" s="6">
        <v>7</v>
      </c>
      <c r="C19" s="87" t="s">
        <v>169</v>
      </c>
      <c r="D19" s="119">
        <f>IF(C19="Hand",(('Step 12'!N18/$D$9)*$D$10),(('Step 12'!N18/$D$11)*$D$12))</f>
        <v>1911.8498894964684</v>
      </c>
      <c r="E19" s="5"/>
      <c r="G19" s="6">
        <v>9</v>
      </c>
      <c r="H19" s="121">
        <f>'Step 12'!M20</f>
        <v>732.95454545454538</v>
      </c>
      <c r="I19" s="70">
        <f t="shared" si="0"/>
        <v>0</v>
      </c>
      <c r="J19" s="5"/>
    </row>
    <row r="20" spans="2:10" x14ac:dyDescent="0.35">
      <c r="B20" s="6">
        <v>8</v>
      </c>
      <c r="C20" s="87" t="s">
        <v>169</v>
      </c>
      <c r="D20" s="119">
        <f>IF(C20="Hand",(('Step 12'!N19/$D$9)*$D$10),(('Step 12'!N19/$D$11)*$D$12))</f>
        <v>2263.8240478722059</v>
      </c>
      <c r="E20" s="5"/>
      <c r="G20" s="6">
        <v>10</v>
      </c>
      <c r="H20" s="121">
        <f>'Step 12'!M21</f>
        <v>732.95454545454538</v>
      </c>
      <c r="I20" s="70">
        <f t="shared" si="0"/>
        <v>0</v>
      </c>
      <c r="J20" s="5"/>
    </row>
    <row r="21" spans="2:10" x14ac:dyDescent="0.35">
      <c r="B21" s="6">
        <v>9</v>
      </c>
      <c r="C21" s="87" t="s">
        <v>169</v>
      </c>
      <c r="D21" s="119">
        <f>IF(C21="Hand",(('Step 12'!N20/$D$9)*$D$10),(('Step 12'!N20/$D$11)*$D$12))</f>
        <v>2467.0344633047266</v>
      </c>
      <c r="E21" s="5"/>
      <c r="G21" s="6">
        <v>11</v>
      </c>
      <c r="H21" s="121">
        <f>'Step 12'!M22</f>
        <v>869.31818181818176</v>
      </c>
      <c r="I21" s="70">
        <f t="shared" si="0"/>
        <v>0</v>
      </c>
      <c r="J21" s="5"/>
    </row>
    <row r="22" spans="2:10" x14ac:dyDescent="0.35">
      <c r="B22" s="6">
        <v>10</v>
      </c>
      <c r="C22" s="87" t="s">
        <v>169</v>
      </c>
      <c r="D22" s="119">
        <f>IF(C22="Hand",(('Step 12'!N21/$D$9)*$D$10),(('Step 12'!N21/$D$11)*$D$12))</f>
        <v>2467.0344633047266</v>
      </c>
      <c r="E22" s="5"/>
      <c r="G22" s="6">
        <v>12</v>
      </c>
      <c r="H22" s="121">
        <f>'Step 12'!M23</f>
        <v>732.95454545454538</v>
      </c>
      <c r="I22" s="70">
        <f t="shared" si="0"/>
        <v>0</v>
      </c>
      <c r="J22" s="5"/>
    </row>
    <row r="23" spans="2:10" x14ac:dyDescent="0.35">
      <c r="B23" s="6">
        <v>11</v>
      </c>
      <c r="C23" s="87" t="s">
        <v>169</v>
      </c>
      <c r="D23" s="119">
        <f>IF(C23="Hand",(('Step 12'!N22/$D$9)*$D$10),(('Step 12'!N22/$D$11)*$D$12))</f>
        <v>2913.4328706235287</v>
      </c>
      <c r="E23" s="5"/>
      <c r="G23" s="6">
        <v>13</v>
      </c>
      <c r="H23" s="121">
        <f>'Step 12'!M24</f>
        <v>869.31818181818176</v>
      </c>
      <c r="I23" s="70">
        <f t="shared" si="0"/>
        <v>0</v>
      </c>
      <c r="J23" s="5"/>
    </row>
    <row r="24" spans="2:10" x14ac:dyDescent="0.35">
      <c r="B24" s="6">
        <v>12</v>
      </c>
      <c r="C24" s="87" t="s">
        <v>169</v>
      </c>
      <c r="D24" s="119">
        <f>IF(C24="Hand",(('Step 12'!N23/$D$9)*$D$10),(('Step 12'!N23/$D$11)*$D$12))</f>
        <v>2467.0344633047266</v>
      </c>
      <c r="E24" s="5"/>
      <c r="G24" s="6">
        <v>14</v>
      </c>
      <c r="H24" s="121">
        <f>'Step 12'!M25</f>
        <v>732.95454545454538</v>
      </c>
      <c r="I24" s="70">
        <f t="shared" si="0"/>
        <v>0</v>
      </c>
      <c r="J24" s="5"/>
    </row>
    <row r="25" spans="2:10" ht="15" thickBot="1" x14ac:dyDescent="0.4">
      <c r="B25" s="6">
        <v>13</v>
      </c>
      <c r="C25" s="87" t="s">
        <v>169</v>
      </c>
      <c r="D25" s="119">
        <f>IF(C25="Hand",(('Step 12'!N24/$D$9)*$D$10),(('Step 12'!N24/$D$11)*$D$12))</f>
        <v>2913.4328706235287</v>
      </c>
      <c r="E25" s="5"/>
      <c r="G25" s="7">
        <v>15</v>
      </c>
      <c r="H25" s="122">
        <f>'Step 12'!M26</f>
        <v>869.31818181818176</v>
      </c>
      <c r="I25" s="71">
        <f t="shared" si="0"/>
        <v>0</v>
      </c>
      <c r="J25" s="62"/>
    </row>
    <row r="26" spans="2:10" x14ac:dyDescent="0.35">
      <c r="B26" s="6">
        <v>14</v>
      </c>
      <c r="C26" s="87" t="s">
        <v>169</v>
      </c>
      <c r="D26" s="119">
        <f>IF(C26="Hand",(('Step 12'!N25/$D$9)*$D$10),(('Step 12'!N25/$D$11)*$D$12))</f>
        <v>2467.0344633047266</v>
      </c>
      <c r="E26" s="5"/>
    </row>
    <row r="27" spans="2:10" ht="15" thickBot="1" x14ac:dyDescent="0.4">
      <c r="B27" s="7">
        <v>15</v>
      </c>
      <c r="C27" s="292" t="s">
        <v>169</v>
      </c>
      <c r="D27" s="120">
        <f>IF(C27="Hand",(('Step 12'!N26/$D$9)*$D$10),(('Step 12'!N26/$D$11)*$D$12))</f>
        <v>2913.4328706235287</v>
      </c>
      <c r="E27" s="62"/>
    </row>
  </sheetData>
  <sheetProtection algorithmName="SHA-512" hashValue="SoPFUDcAs8tUhKsiAFhi5LkaEanleWpOu8xMygXF7S3+t76+pAWioBkVzYBh602j0GCrweDO69+AVRGjdMRucg==" saltValue="xuPCSGvlQwVx8g0xnLrfRQ==" spinCount="100000" sheet="1" objects="1" scenarios="1" selectLockedCells="1"/>
  <mergeCells count="11">
    <mergeCell ref="O11:P11"/>
    <mergeCell ref="L12:P15"/>
    <mergeCell ref="B4:E7"/>
    <mergeCell ref="G4:J6"/>
    <mergeCell ref="O4:P4"/>
    <mergeCell ref="O5:P5"/>
    <mergeCell ref="O6:P6"/>
    <mergeCell ref="O7:P7"/>
    <mergeCell ref="O8:P8"/>
    <mergeCell ref="O9:P9"/>
    <mergeCell ref="O10:P10"/>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81" r:id="rId3" name="Button 1">
              <controlPr defaultSize="0" print="0" autoFill="0" autoPict="0" macro="[0]!ReturntoHomePage">
                <anchor moveWithCells="1" sizeWithCells="1">
                  <from>
                    <xdr:col>12</xdr:col>
                    <xdr:colOff>412750</xdr:colOff>
                    <xdr:row>16</xdr:row>
                    <xdr:rowOff>12700</xdr:rowOff>
                  </from>
                  <to>
                    <xdr:col>14</xdr:col>
                    <xdr:colOff>38100</xdr:colOff>
                    <xdr:row>18</xdr:row>
                    <xdr:rowOff>146050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'input tables'!$F$47:$F$48</xm:f>
          </x14:formula1>
          <xm:sqref>C15:C27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CC16B-A7AB-4AC3-9131-630A71678ABD}">
  <sheetPr codeName="Sheet13"/>
  <dimension ref="A1:R23"/>
  <sheetViews>
    <sheetView showGridLines="0" topLeftCell="A6" zoomScale="90" zoomScaleNormal="90" workbookViewId="0">
      <selection activeCell="R15" sqref="R15"/>
    </sheetView>
  </sheetViews>
  <sheetFormatPr defaultRowHeight="14.5" x14ac:dyDescent="0.35"/>
  <cols>
    <col min="1" max="1" width="7" customWidth="1"/>
    <col min="4" max="9" width="7.90625" customWidth="1"/>
    <col min="10" max="10" width="10.7265625" customWidth="1"/>
    <col min="12" max="12" width="7.08984375" customWidth="1"/>
    <col min="13" max="14" width="14" customWidth="1"/>
    <col min="15" max="15" width="14.54296875" customWidth="1"/>
    <col min="17" max="17" width="33" customWidth="1"/>
    <col min="18" max="18" width="9.26953125" bestFit="1" customWidth="1"/>
  </cols>
  <sheetData>
    <row r="1" spans="1:18" ht="28.5" x14ac:dyDescent="0.65">
      <c r="A1" s="191" t="s">
        <v>340</v>
      </c>
    </row>
    <row r="2" spans="1:18" ht="15.5" x14ac:dyDescent="0.35">
      <c r="A2" s="212" t="s">
        <v>344</v>
      </c>
    </row>
    <row r="3" spans="1:18" ht="15" thickBot="1" x14ac:dyDescent="0.4"/>
    <row r="4" spans="1:18" ht="18.5" customHeight="1" x14ac:dyDescent="0.35">
      <c r="A4" s="286" t="s">
        <v>366</v>
      </c>
      <c r="B4" s="26"/>
      <c r="C4" s="26"/>
      <c r="D4" s="26"/>
      <c r="E4" s="26"/>
      <c r="F4" s="26"/>
      <c r="G4" s="26"/>
      <c r="H4" s="26"/>
      <c r="I4" s="26"/>
      <c r="J4" s="27"/>
      <c r="L4" s="404" t="s">
        <v>365</v>
      </c>
      <c r="M4" s="405"/>
      <c r="N4" s="405"/>
      <c r="O4" s="406"/>
      <c r="Q4" s="404" t="s">
        <v>364</v>
      </c>
      <c r="R4" s="406"/>
    </row>
    <row r="5" spans="1:18" ht="14.5" customHeight="1" x14ac:dyDescent="0.35">
      <c r="A5" s="397" t="s">
        <v>367</v>
      </c>
      <c r="B5" s="398"/>
      <c r="C5" s="398"/>
      <c r="D5" s="398"/>
      <c r="E5" s="398"/>
      <c r="F5" s="398"/>
      <c r="G5" s="398"/>
      <c r="H5" s="398"/>
      <c r="I5" s="398"/>
      <c r="J5" s="399"/>
      <c r="L5" s="369" t="s">
        <v>353</v>
      </c>
      <c r="M5" s="370"/>
      <c r="N5" s="370"/>
      <c r="O5" s="371"/>
      <c r="Q5" s="411"/>
      <c r="R5" s="412"/>
    </row>
    <row r="6" spans="1:18" ht="15" thickBot="1" x14ac:dyDescent="0.4">
      <c r="A6" s="397"/>
      <c r="B6" s="398"/>
      <c r="C6" s="398"/>
      <c r="D6" s="398"/>
      <c r="E6" s="398"/>
      <c r="F6" s="398"/>
      <c r="G6" s="398"/>
      <c r="H6" s="398"/>
      <c r="I6" s="398"/>
      <c r="J6" s="399"/>
      <c r="L6" s="369"/>
      <c r="M6" s="370"/>
      <c r="N6" s="370"/>
      <c r="O6" s="371"/>
      <c r="Q6" s="369" t="s">
        <v>393</v>
      </c>
      <c r="R6" s="371"/>
    </row>
    <row r="7" spans="1:18" ht="14.5" customHeight="1" x14ac:dyDescent="0.35">
      <c r="A7" s="4"/>
      <c r="D7" s="408" t="s">
        <v>361</v>
      </c>
      <c r="E7" s="409"/>
      <c r="F7" s="410"/>
      <c r="G7" s="408" t="s">
        <v>343</v>
      </c>
      <c r="H7" s="409"/>
      <c r="I7" s="410"/>
      <c r="J7" s="5"/>
      <c r="L7" s="402"/>
      <c r="M7" s="407"/>
      <c r="N7" s="407"/>
      <c r="O7" s="403"/>
      <c r="Q7" s="402"/>
      <c r="R7" s="403"/>
    </row>
    <row r="8" spans="1:18" ht="50.5" customHeight="1" x14ac:dyDescent="0.35">
      <c r="A8" s="271" t="s">
        <v>0</v>
      </c>
      <c r="B8" s="217" t="s">
        <v>341</v>
      </c>
      <c r="C8" s="218" t="s">
        <v>342</v>
      </c>
      <c r="D8" s="219" t="s">
        <v>362</v>
      </c>
      <c r="E8" s="217" t="s">
        <v>359</v>
      </c>
      <c r="F8" s="220" t="s">
        <v>360</v>
      </c>
      <c r="G8" s="219" t="s">
        <v>362</v>
      </c>
      <c r="H8" s="218" t="s">
        <v>359</v>
      </c>
      <c r="I8" s="220" t="s">
        <v>360</v>
      </c>
      <c r="J8" s="283" t="s">
        <v>368</v>
      </c>
      <c r="L8" s="271" t="s">
        <v>0</v>
      </c>
      <c r="M8" s="217" t="s">
        <v>351</v>
      </c>
      <c r="N8" s="217" t="s">
        <v>352</v>
      </c>
      <c r="O8" s="220" t="s">
        <v>369</v>
      </c>
      <c r="P8" s="216"/>
      <c r="Q8" s="270" t="s">
        <v>345</v>
      </c>
      <c r="R8" s="308">
        <v>0.56999999999999995</v>
      </c>
    </row>
    <row r="9" spans="1:18" x14ac:dyDescent="0.35">
      <c r="A9" s="6">
        <v>1</v>
      </c>
      <c r="B9" s="296">
        <v>3</v>
      </c>
      <c r="C9" s="277">
        <f>'Steps 1-6'!$C$12-'alley-cropping'!B9</f>
        <v>9</v>
      </c>
      <c r="D9" s="280">
        <f>((('Steps 1-6'!$C$7/'Steps 1-6'!$C$13)*('Steps 1-6'!$C$12-B9))*'Steps 1-6'!$C$13)/43560</f>
        <v>3.0991735537190084</v>
      </c>
      <c r="E9" s="297">
        <v>0</v>
      </c>
      <c r="F9" s="298">
        <v>1</v>
      </c>
      <c r="G9" s="280">
        <f>((('Steps 1-6'!$C$13*'Steps 1-6'!$C$12)*40)*2)/43560</f>
        <v>0.41873278236914602</v>
      </c>
      <c r="H9" s="303">
        <v>1</v>
      </c>
      <c r="I9" s="298">
        <v>0</v>
      </c>
      <c r="J9" s="284">
        <f t="shared" ref="J9:J23" si="0">(D9*E9*$R$15)+(G9*H9*$R$15)+(D9*F9*O9)+(G9*I9*O9)</f>
        <v>565.6847107438017</v>
      </c>
      <c r="L9" s="6">
        <v>1</v>
      </c>
      <c r="M9" s="306">
        <v>500</v>
      </c>
      <c r="N9" s="306">
        <v>700</v>
      </c>
      <c r="O9" s="266">
        <f>N9-M9</f>
        <v>200</v>
      </c>
      <c r="Q9" s="270" t="s">
        <v>346</v>
      </c>
      <c r="R9" s="309">
        <v>4</v>
      </c>
    </row>
    <row r="10" spans="1:18" x14ac:dyDescent="0.35">
      <c r="A10" s="6">
        <v>2</v>
      </c>
      <c r="B10" s="296">
        <v>3</v>
      </c>
      <c r="C10" s="277">
        <f>'Steps 1-6'!$C$12-'alley-cropping'!B10</f>
        <v>9</v>
      </c>
      <c r="D10" s="280">
        <f>((('Steps 1-6'!$C$7/'Steps 1-6'!$C$13)*('Steps 1-6'!$C$12-B10))*'Steps 1-6'!$C$13)/43560</f>
        <v>3.0991735537190084</v>
      </c>
      <c r="E10" s="297">
        <v>0</v>
      </c>
      <c r="F10" s="298">
        <v>1</v>
      </c>
      <c r="G10" s="280">
        <f>((('Steps 1-6'!$C$13*'Steps 1-6'!$C$12)*40)*2)/43560</f>
        <v>0.41873278236914602</v>
      </c>
      <c r="H10" s="303">
        <v>1</v>
      </c>
      <c r="I10" s="298">
        <v>0</v>
      </c>
      <c r="J10" s="284">
        <f t="shared" si="0"/>
        <v>565.6847107438017</v>
      </c>
      <c r="L10" s="6">
        <v>2</v>
      </c>
      <c r="M10" s="306">
        <v>500</v>
      </c>
      <c r="N10" s="306">
        <v>700</v>
      </c>
      <c r="O10" s="266">
        <f t="shared" ref="O10:O23" si="1">N10-M10</f>
        <v>200</v>
      </c>
      <c r="Q10" s="270" t="s">
        <v>370</v>
      </c>
      <c r="R10" s="310">
        <v>0.8</v>
      </c>
    </row>
    <row r="11" spans="1:18" x14ac:dyDescent="0.35">
      <c r="A11" s="6">
        <v>3</v>
      </c>
      <c r="B11" s="296">
        <v>3</v>
      </c>
      <c r="C11" s="277">
        <f>'Steps 1-6'!$C$12-'alley-cropping'!B11</f>
        <v>9</v>
      </c>
      <c r="D11" s="280">
        <f>((('Steps 1-6'!$C$7/'Steps 1-6'!$C$13)*('Steps 1-6'!$C$12-B11))*'Steps 1-6'!$C$13)/43560</f>
        <v>3.0991735537190084</v>
      </c>
      <c r="E11" s="297">
        <v>0</v>
      </c>
      <c r="F11" s="298">
        <v>1</v>
      </c>
      <c r="G11" s="280">
        <f>((('Steps 1-6'!$C$13*'Steps 1-6'!$C$12)*40)*2)/43560</f>
        <v>0.41873278236914602</v>
      </c>
      <c r="H11" s="303">
        <v>1</v>
      </c>
      <c r="I11" s="298">
        <v>0</v>
      </c>
      <c r="J11" s="284">
        <f t="shared" si="0"/>
        <v>565.6847107438017</v>
      </c>
      <c r="L11" s="6">
        <v>3</v>
      </c>
      <c r="M11" s="306">
        <v>500</v>
      </c>
      <c r="N11" s="306">
        <v>700</v>
      </c>
      <c r="O11" s="266">
        <f t="shared" si="1"/>
        <v>200</v>
      </c>
      <c r="Q11" s="270" t="s">
        <v>347</v>
      </c>
      <c r="R11" s="260">
        <f>(((43560/(R9*100))*R8)/60)/R10</f>
        <v>1.2931874999999999</v>
      </c>
    </row>
    <row r="12" spans="1:18" x14ac:dyDescent="0.35">
      <c r="A12" s="6">
        <v>4</v>
      </c>
      <c r="B12" s="296">
        <v>3</v>
      </c>
      <c r="C12" s="277">
        <f>'Steps 1-6'!$C$12-'alley-cropping'!B12</f>
        <v>9</v>
      </c>
      <c r="D12" s="280">
        <f>((('Steps 1-6'!$C$7/'Steps 1-6'!$C$13)*('Steps 1-6'!$C$12-B12))*'Steps 1-6'!$C$13)/43560</f>
        <v>3.0991735537190084</v>
      </c>
      <c r="E12" s="297">
        <v>0</v>
      </c>
      <c r="F12" s="298">
        <v>1</v>
      </c>
      <c r="G12" s="280">
        <f>((('Steps 1-6'!$C$13*'Steps 1-6'!$C$12)*40)*2)/43560</f>
        <v>0.41873278236914602</v>
      </c>
      <c r="H12" s="303">
        <v>1</v>
      </c>
      <c r="I12" s="298">
        <v>0</v>
      </c>
      <c r="J12" s="284">
        <f t="shared" si="0"/>
        <v>565.6847107438017</v>
      </c>
      <c r="L12" s="6">
        <v>4</v>
      </c>
      <c r="M12" s="306">
        <v>500</v>
      </c>
      <c r="N12" s="306">
        <v>700</v>
      </c>
      <c r="O12" s="266">
        <f t="shared" si="1"/>
        <v>200</v>
      </c>
      <c r="Q12" s="270" t="s">
        <v>348</v>
      </c>
      <c r="R12" s="309">
        <v>4</v>
      </c>
    </row>
    <row r="13" spans="1:18" x14ac:dyDescent="0.35">
      <c r="A13" s="6">
        <v>5</v>
      </c>
      <c r="B13" s="296">
        <v>4</v>
      </c>
      <c r="C13" s="277">
        <f>'Steps 1-6'!$C$12-'alley-cropping'!B13</f>
        <v>8</v>
      </c>
      <c r="D13" s="280">
        <f>((('Steps 1-6'!$C$7/'Steps 1-6'!$C$13)*('Steps 1-6'!$C$12-B13))*'Steps 1-6'!$C$13)/43560</f>
        <v>2.7548209366391183</v>
      </c>
      <c r="E13" s="297">
        <v>0</v>
      </c>
      <c r="F13" s="298">
        <v>1</v>
      </c>
      <c r="G13" s="280">
        <f>((('Steps 1-6'!$C$13*'Steps 1-6'!$C$12)*40)*2)/43560</f>
        <v>0.41873278236914602</v>
      </c>
      <c r="H13" s="303">
        <v>1</v>
      </c>
      <c r="I13" s="298">
        <v>0</v>
      </c>
      <c r="J13" s="284">
        <f t="shared" si="0"/>
        <v>496.81418732782367</v>
      </c>
      <c r="L13" s="6">
        <v>5</v>
      </c>
      <c r="M13" s="306">
        <v>500</v>
      </c>
      <c r="N13" s="306">
        <v>700</v>
      </c>
      <c r="O13" s="266">
        <f t="shared" si="1"/>
        <v>200</v>
      </c>
      <c r="Q13" s="270" t="s">
        <v>350</v>
      </c>
      <c r="R13" s="260">
        <f>R11*R12</f>
        <v>5.1727499999999997</v>
      </c>
    </row>
    <row r="14" spans="1:18" x14ac:dyDescent="0.35">
      <c r="A14" s="6">
        <v>6</v>
      </c>
      <c r="B14" s="296">
        <v>4.5</v>
      </c>
      <c r="C14" s="277">
        <f>'Steps 1-6'!$C$12-'alley-cropping'!B14</f>
        <v>7.5</v>
      </c>
      <c r="D14" s="280">
        <f>((('Steps 1-6'!$C$7/'Steps 1-6'!$C$13)*('Steps 1-6'!$C$12-B14))*'Steps 1-6'!$C$13)/43560</f>
        <v>2.5826446280991737</v>
      </c>
      <c r="E14" s="297">
        <v>0</v>
      </c>
      <c r="F14" s="298">
        <v>1</v>
      </c>
      <c r="G14" s="280">
        <f>((('Steps 1-6'!$C$13*'Steps 1-6'!$C$12)*40)*2)/43560</f>
        <v>0.41873278236914602</v>
      </c>
      <c r="H14" s="303">
        <v>1</v>
      </c>
      <c r="I14" s="298">
        <v>0</v>
      </c>
      <c r="J14" s="284">
        <f t="shared" si="0"/>
        <v>462.37892561983472</v>
      </c>
      <c r="L14" s="6">
        <v>6</v>
      </c>
      <c r="M14" s="306">
        <v>500</v>
      </c>
      <c r="N14" s="306">
        <v>700</v>
      </c>
      <c r="O14" s="266">
        <f t="shared" si="1"/>
        <v>200</v>
      </c>
      <c r="Q14" s="273" t="s">
        <v>349</v>
      </c>
      <c r="R14" s="311">
        <v>25</v>
      </c>
    </row>
    <row r="15" spans="1:18" x14ac:dyDescent="0.35">
      <c r="A15" s="6">
        <v>7</v>
      </c>
      <c r="B15" s="296">
        <v>5</v>
      </c>
      <c r="C15" s="277">
        <f>'Steps 1-6'!$C$12-'alley-cropping'!B15</f>
        <v>7</v>
      </c>
      <c r="D15" s="280">
        <f>((('Steps 1-6'!$C$7/'Steps 1-6'!$C$13)*('Steps 1-6'!$C$12-B15))*'Steps 1-6'!$C$13)/43560</f>
        <v>2.4104683195592287</v>
      </c>
      <c r="E15" s="297">
        <v>0</v>
      </c>
      <c r="F15" s="298">
        <v>1</v>
      </c>
      <c r="G15" s="280">
        <f>((('Steps 1-6'!$C$13*'Steps 1-6'!$C$12)*40)*2)/43560</f>
        <v>0.41873278236914602</v>
      </c>
      <c r="H15" s="303">
        <v>1</v>
      </c>
      <c r="I15" s="298">
        <v>0</v>
      </c>
      <c r="J15" s="284">
        <f t="shared" si="0"/>
        <v>427.94366391184576</v>
      </c>
      <c r="L15" s="6">
        <v>7</v>
      </c>
      <c r="M15" s="306">
        <v>500</v>
      </c>
      <c r="N15" s="306">
        <v>700</v>
      </c>
      <c r="O15" s="266">
        <f t="shared" si="1"/>
        <v>200</v>
      </c>
      <c r="Q15" s="270" t="s">
        <v>363</v>
      </c>
      <c r="R15" s="312">
        <f>-R14*R13</f>
        <v>-129.31874999999999</v>
      </c>
    </row>
    <row r="16" spans="1:18" x14ac:dyDescent="0.35">
      <c r="A16" s="274">
        <v>8</v>
      </c>
      <c r="B16" s="275">
        <f>'Steps 1-6'!C10</f>
        <v>6</v>
      </c>
      <c r="C16" s="278">
        <f>'Steps 1-6'!$C$12-'alley-cropping'!B16</f>
        <v>6</v>
      </c>
      <c r="D16" s="281">
        <f>((('Steps 1-6'!$C$7/'Steps 1-6'!$C$13)*('Steps 1-6'!$C$12-B16))*'Steps 1-6'!$C$13)/43560</f>
        <v>2.0661157024793391</v>
      </c>
      <c r="E16" s="299">
        <v>0</v>
      </c>
      <c r="F16" s="300">
        <v>1</v>
      </c>
      <c r="G16" s="281">
        <f>((('Steps 1-6'!$C$13*'Steps 1-6'!$C$12)*40)*2)/43560</f>
        <v>0.41873278236914602</v>
      </c>
      <c r="H16" s="304">
        <v>1</v>
      </c>
      <c r="I16" s="300">
        <v>0</v>
      </c>
      <c r="J16" s="284">
        <f t="shared" si="0"/>
        <v>359.07314049586785</v>
      </c>
      <c r="L16" s="6">
        <v>8</v>
      </c>
      <c r="M16" s="306">
        <v>500</v>
      </c>
      <c r="N16" s="306">
        <v>700</v>
      </c>
      <c r="O16" s="266">
        <f t="shared" si="1"/>
        <v>200</v>
      </c>
      <c r="Q16" s="390" t="s">
        <v>371</v>
      </c>
      <c r="R16" s="390"/>
    </row>
    <row r="17" spans="1:18" x14ac:dyDescent="0.35">
      <c r="A17" s="6">
        <v>9</v>
      </c>
      <c r="B17" s="272">
        <v>6</v>
      </c>
      <c r="C17" s="277">
        <v>6</v>
      </c>
      <c r="D17" s="280">
        <f>((('Steps 1-6'!$C$7/'Steps 1-6'!$C$13)*('Steps 1-6'!$C$12-B17))*'Steps 1-6'!$C$13)/43560</f>
        <v>2.0661157024793391</v>
      </c>
      <c r="E17" s="297">
        <v>1</v>
      </c>
      <c r="F17" s="298">
        <v>0</v>
      </c>
      <c r="G17" s="280">
        <f>((('Steps 1-6'!$C$13*'Steps 1-6'!$C$12)*40)*2)/43560</f>
        <v>0.41873278236914602</v>
      </c>
      <c r="H17" s="303">
        <v>1</v>
      </c>
      <c r="I17" s="298">
        <v>0</v>
      </c>
      <c r="J17" s="284">
        <f t="shared" si="0"/>
        <v>-321.33749999999998</v>
      </c>
      <c r="L17" s="6">
        <v>9</v>
      </c>
      <c r="M17" s="306"/>
      <c r="N17" s="306"/>
      <c r="O17" s="266">
        <f t="shared" si="1"/>
        <v>0</v>
      </c>
      <c r="Q17" s="359"/>
      <c r="R17" s="359"/>
    </row>
    <row r="18" spans="1:18" x14ac:dyDescent="0.35">
      <c r="A18" s="6">
        <v>10</v>
      </c>
      <c r="B18" s="272">
        <v>6</v>
      </c>
      <c r="C18" s="277">
        <v>6</v>
      </c>
      <c r="D18" s="280">
        <f>((('Steps 1-6'!$C$7/'Steps 1-6'!$C$13)*('Steps 1-6'!$C$12-B18))*'Steps 1-6'!$C$13)/43560</f>
        <v>2.0661157024793391</v>
      </c>
      <c r="E18" s="297">
        <v>1</v>
      </c>
      <c r="F18" s="298">
        <v>0</v>
      </c>
      <c r="G18" s="280">
        <f>((('Steps 1-6'!$C$13*'Steps 1-6'!$C$12)*40)*2)/43560</f>
        <v>0.41873278236914602</v>
      </c>
      <c r="H18" s="303">
        <v>1</v>
      </c>
      <c r="I18" s="298">
        <v>0</v>
      </c>
      <c r="J18" s="284">
        <f t="shared" si="0"/>
        <v>-321.33749999999998</v>
      </c>
      <c r="L18" s="6">
        <v>10</v>
      </c>
      <c r="M18" s="306"/>
      <c r="N18" s="306"/>
      <c r="O18" s="266">
        <f t="shared" si="1"/>
        <v>0</v>
      </c>
    </row>
    <row r="19" spans="1:18" x14ac:dyDescent="0.35">
      <c r="A19" s="6">
        <v>11</v>
      </c>
      <c r="B19" s="272">
        <v>6</v>
      </c>
      <c r="C19" s="277">
        <v>6</v>
      </c>
      <c r="D19" s="280">
        <f>((('Steps 1-6'!$C$7/'Steps 1-6'!$C$13)*('Steps 1-6'!$C$12-B19))*'Steps 1-6'!$C$13)/43560</f>
        <v>2.0661157024793391</v>
      </c>
      <c r="E19" s="297">
        <v>0</v>
      </c>
      <c r="F19" s="298">
        <v>0</v>
      </c>
      <c r="G19" s="280">
        <f>((('Steps 1-6'!$C$13*'Steps 1-6'!$C$12)*40)*2)/43560</f>
        <v>0.41873278236914602</v>
      </c>
      <c r="H19" s="303">
        <v>1</v>
      </c>
      <c r="I19" s="298">
        <v>0</v>
      </c>
      <c r="J19" s="284">
        <f t="shared" si="0"/>
        <v>-54.15</v>
      </c>
      <c r="L19" s="6">
        <v>11</v>
      </c>
      <c r="M19" s="306"/>
      <c r="N19" s="306"/>
      <c r="O19" s="266">
        <f t="shared" si="1"/>
        <v>0</v>
      </c>
    </row>
    <row r="20" spans="1:18" x14ac:dyDescent="0.35">
      <c r="A20" s="6">
        <v>12</v>
      </c>
      <c r="B20" s="272">
        <v>6</v>
      </c>
      <c r="C20" s="277">
        <v>6</v>
      </c>
      <c r="D20" s="280">
        <f>((('Steps 1-6'!$C$7/'Steps 1-6'!$C$13)*('Steps 1-6'!$C$12-B20))*'Steps 1-6'!$C$13)/43560</f>
        <v>2.0661157024793391</v>
      </c>
      <c r="E20" s="297">
        <v>0</v>
      </c>
      <c r="F20" s="298">
        <v>0</v>
      </c>
      <c r="G20" s="280">
        <f>((('Steps 1-6'!$C$13*'Steps 1-6'!$C$12)*40)*2)/43560</f>
        <v>0.41873278236914602</v>
      </c>
      <c r="H20" s="303">
        <v>1</v>
      </c>
      <c r="I20" s="298">
        <v>0</v>
      </c>
      <c r="J20" s="284">
        <f t="shared" si="0"/>
        <v>-54.15</v>
      </c>
      <c r="L20" s="6">
        <v>12</v>
      </c>
      <c r="M20" s="306"/>
      <c r="N20" s="306"/>
      <c r="O20" s="266">
        <f t="shared" si="1"/>
        <v>0</v>
      </c>
    </row>
    <row r="21" spans="1:18" x14ac:dyDescent="0.35">
      <c r="A21" s="6">
        <v>13</v>
      </c>
      <c r="B21" s="272">
        <v>6</v>
      </c>
      <c r="C21" s="277">
        <v>6</v>
      </c>
      <c r="D21" s="280">
        <f>((('Steps 1-6'!$C$7/'Steps 1-6'!$C$13)*('Steps 1-6'!$C$12-B21))*'Steps 1-6'!$C$13)/43560</f>
        <v>2.0661157024793391</v>
      </c>
      <c r="E21" s="297">
        <v>0</v>
      </c>
      <c r="F21" s="298">
        <v>0</v>
      </c>
      <c r="G21" s="280">
        <f>((('Steps 1-6'!$C$13*'Steps 1-6'!$C$12)*40)*2)/43560</f>
        <v>0.41873278236914602</v>
      </c>
      <c r="H21" s="303">
        <v>1</v>
      </c>
      <c r="I21" s="298">
        <v>0</v>
      </c>
      <c r="J21" s="284">
        <f t="shared" si="0"/>
        <v>-54.15</v>
      </c>
      <c r="L21" s="6">
        <v>13</v>
      </c>
      <c r="M21" s="306"/>
      <c r="N21" s="306"/>
      <c r="O21" s="266">
        <f t="shared" si="1"/>
        <v>0</v>
      </c>
    </row>
    <row r="22" spans="1:18" x14ac:dyDescent="0.35">
      <c r="A22" s="6">
        <v>14</v>
      </c>
      <c r="B22" s="272">
        <v>6</v>
      </c>
      <c r="C22" s="277">
        <v>6</v>
      </c>
      <c r="D22" s="280">
        <f>((('Steps 1-6'!$C$7/'Steps 1-6'!$C$13)*('Steps 1-6'!$C$12-B22))*'Steps 1-6'!$C$13)/43560</f>
        <v>2.0661157024793391</v>
      </c>
      <c r="E22" s="297">
        <v>0</v>
      </c>
      <c r="F22" s="298">
        <v>0</v>
      </c>
      <c r="G22" s="280">
        <f>((('Steps 1-6'!$C$13*'Steps 1-6'!$C$12)*40)*2)/43560</f>
        <v>0.41873278236914602</v>
      </c>
      <c r="H22" s="303">
        <v>1</v>
      </c>
      <c r="I22" s="298">
        <v>0</v>
      </c>
      <c r="J22" s="284">
        <f t="shared" si="0"/>
        <v>-54.15</v>
      </c>
      <c r="L22" s="6">
        <v>14</v>
      </c>
      <c r="M22" s="306"/>
      <c r="N22" s="306"/>
      <c r="O22" s="266">
        <f t="shared" si="1"/>
        <v>0</v>
      </c>
    </row>
    <row r="23" spans="1:18" ht="15" thickBot="1" x14ac:dyDescent="0.4">
      <c r="A23" s="7">
        <v>15</v>
      </c>
      <c r="B23" s="276">
        <v>6</v>
      </c>
      <c r="C23" s="279">
        <v>6</v>
      </c>
      <c r="D23" s="282">
        <f>((('Steps 1-6'!$C$7/'Steps 1-6'!$C$13)*('Steps 1-6'!$C$12-B23))*'Steps 1-6'!$C$13)/43560</f>
        <v>2.0661157024793391</v>
      </c>
      <c r="E23" s="301">
        <v>0</v>
      </c>
      <c r="F23" s="302">
        <v>0</v>
      </c>
      <c r="G23" s="282">
        <f>((('Steps 1-6'!$C$13*'Steps 1-6'!$C$12)*40)*2)/43560</f>
        <v>0.41873278236914602</v>
      </c>
      <c r="H23" s="305">
        <v>1</v>
      </c>
      <c r="I23" s="302">
        <v>0</v>
      </c>
      <c r="J23" s="285">
        <f t="shared" si="0"/>
        <v>-54.15</v>
      </c>
      <c r="L23" s="7">
        <v>15</v>
      </c>
      <c r="M23" s="307"/>
      <c r="N23" s="307"/>
      <c r="O23" s="266">
        <f t="shared" si="1"/>
        <v>0</v>
      </c>
    </row>
  </sheetData>
  <sheetProtection algorithmName="SHA-512" hashValue="LRNSLuPHKsQYQdDXZsHY4YKl3HxHAJ9An06j81FbUHTYLtAzf+zNJGUMbMjV1aUjuAiT8AO678XYe3PwCF9txg==" saltValue="Ov4WYlPBll19Xd6jNqf+9Q==" spinCount="100000" sheet="1" objects="1" scenarios="1" selectLockedCells="1"/>
  <mergeCells count="8">
    <mergeCell ref="Q6:R7"/>
    <mergeCell ref="Q16:R17"/>
    <mergeCell ref="L4:O4"/>
    <mergeCell ref="L5:O7"/>
    <mergeCell ref="D7:F7"/>
    <mergeCell ref="G7:I7"/>
    <mergeCell ref="A5:J6"/>
    <mergeCell ref="Q4:R5"/>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Home</vt:lpstr>
      <vt:lpstr>Steps 1-6</vt:lpstr>
      <vt:lpstr>Steps 7-8</vt:lpstr>
      <vt:lpstr>Step 9</vt:lpstr>
      <vt:lpstr>Step 10</vt:lpstr>
      <vt:lpstr>Step 11</vt:lpstr>
      <vt:lpstr>Step 12</vt:lpstr>
      <vt:lpstr>Step 13</vt:lpstr>
      <vt:lpstr>alley-cropping</vt:lpstr>
      <vt:lpstr>harvester 1.0</vt:lpstr>
      <vt:lpstr>budget</vt:lpstr>
      <vt:lpstr>graph</vt:lpstr>
      <vt:lpstr>input tables</vt:lpstr>
    </vt:vector>
  </TitlesOfParts>
  <Company>Bayfield County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UWEX</dc:creator>
  <cp:lastModifiedBy>JASON</cp:lastModifiedBy>
  <dcterms:created xsi:type="dcterms:W3CDTF">2012-03-04T19:03:46Z</dcterms:created>
  <dcterms:modified xsi:type="dcterms:W3CDTF">2023-03-04T12:12:04Z</dcterms:modified>
</cp:coreProperties>
</file>